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5.xml" ContentType="application/vnd.ms-excel.person+xml"/>
  <Override PartName="/xl/persons/person9.xml" ContentType="application/vnd.ms-excel.person+xml"/>
  <Override PartName="/xl/persons/person3.xml" ContentType="application/vnd.ms-excel.person+xml"/>
  <Override PartName="/xl/persons/person8.xml" ContentType="application/vnd.ms-excel.person+xml"/>
  <Override PartName="/xl/persons/person1.xml" ContentType="application/vnd.ms-excel.person+xml"/>
  <Override PartName="/xl/persons/person6.xml" ContentType="application/vnd.ms-excel.person+xml"/>
  <Override PartName="/xl/persons/person0.xml" ContentType="application/vnd.ms-excel.person+xml"/>
  <Override PartName="/xl/persons/person.xml" ContentType="application/vnd.ms-excel.person+xml"/>
  <Override PartName="/xl/persons/person2.xml" ContentType="application/vnd.ms-excel.person+xml"/>
  <Override PartName="/xl/persons/person7.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hidePivotFieldList="1" defaultThemeVersion="166925"/>
  <mc:AlternateContent xmlns:mc="http://schemas.openxmlformats.org/markup-compatibility/2006">
    <mc:Choice Requires="x15">
      <x15ac:absPath xmlns:x15ac="http://schemas.microsoft.com/office/spreadsheetml/2010/11/ac" url="https://d.docs.live.net/1d81e3e8943403ae/Bureau/"/>
    </mc:Choice>
  </mc:AlternateContent>
  <xr:revisionPtr revIDLastSave="1683" documentId="8_{53727AFC-D935-4C46-9C19-2F3A050B8CBA}" xr6:coauthVersionLast="47" xr6:coauthVersionMax="47" xr10:uidLastSave="{2006C10B-A710-4504-A0D1-5FEFC02308FB}"/>
  <bookViews>
    <workbookView xWindow="-120" yWindow="-120" windowWidth="29040" windowHeight="15720" xr2:uid="{00000000-000D-0000-FFFF-FFFF00000000}"/>
  </bookViews>
  <sheets>
    <sheet name="Avertissement" sheetId="11" r:id="rId1"/>
    <sheet name="Fiche personnelle" sheetId="10" r:id="rId2"/>
    <sheet name="IMC" sheetId="9" r:id="rId3"/>
    <sheet name="Résultat du test" sheetId="2" r:id="rId4"/>
    <sheet name="Niveau 1" sheetId="1" r:id="rId5"/>
    <sheet name="Niveau 2" sheetId="4" r:id="rId6"/>
    <sheet name="Niveau 3" sheetId="5" r:id="rId7"/>
    <sheet name="Niveau 4" sheetId="6" r:id="rId8"/>
    <sheet name="Focus pectoraux" sheetId="12" r:id="rId9"/>
    <sheet name="Focus dos" sheetId="13" r:id="rId10"/>
    <sheet name="Focus bras" sheetId="14" r:id="rId1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7" i="14" l="1"/>
  <c r="E125" i="14"/>
  <c r="D127" i="14"/>
  <c r="D125" i="14"/>
  <c r="C127" i="14"/>
  <c r="C125" i="14"/>
  <c r="B127" i="14"/>
  <c r="B125" i="14"/>
  <c r="E116" i="13"/>
  <c r="D116" i="13"/>
  <c r="C116" i="13"/>
  <c r="B116" i="13"/>
  <c r="E124" i="14"/>
  <c r="E117" i="12"/>
  <c r="D124" i="14"/>
  <c r="D117" i="12"/>
  <c r="C124" i="14"/>
  <c r="C117" i="12"/>
  <c r="B124" i="14"/>
  <c r="B117" i="12"/>
  <c r="D119" i="14"/>
  <c r="E118" i="14"/>
  <c r="D118" i="14"/>
  <c r="C119" i="14"/>
  <c r="C118" i="14"/>
  <c r="B119" i="14"/>
  <c r="B118" i="14"/>
  <c r="E104" i="12"/>
  <c r="D104" i="12"/>
  <c r="C104" i="12"/>
  <c r="B104" i="12"/>
  <c r="E117" i="14"/>
  <c r="E115" i="14"/>
  <c r="D117" i="14"/>
  <c r="D115" i="14"/>
  <c r="C117" i="14"/>
  <c r="C115" i="14"/>
  <c r="B117" i="14"/>
  <c r="B115" i="14"/>
  <c r="E116" i="14"/>
  <c r="E103" i="12"/>
  <c r="D116" i="14"/>
  <c r="D103" i="12"/>
  <c r="C116" i="14"/>
  <c r="C103" i="12"/>
  <c r="B116" i="14"/>
  <c r="B103" i="12"/>
  <c r="H116" i="14"/>
  <c r="H83" i="14"/>
  <c r="E100" i="13"/>
  <c r="D100" i="13"/>
  <c r="C100" i="13"/>
  <c r="B100" i="13"/>
  <c r="D111" i="14"/>
  <c r="E109" i="14"/>
  <c r="C111" i="14"/>
  <c r="C109" i="14"/>
  <c r="B111" i="14"/>
  <c r="B109" i="14"/>
  <c r="D110" i="14"/>
  <c r="C110" i="14"/>
  <c r="B110" i="14"/>
  <c r="E108" i="14"/>
  <c r="D109" i="14"/>
  <c r="D108" i="14"/>
  <c r="C108" i="14"/>
  <c r="B108" i="14"/>
  <c r="E109" i="13"/>
  <c r="D109" i="13"/>
  <c r="C109" i="13"/>
  <c r="B109" i="13"/>
  <c r="E107" i="14"/>
  <c r="E110" i="12"/>
  <c r="D107" i="14"/>
  <c r="D110" i="12"/>
  <c r="C107" i="14"/>
  <c r="C110" i="12"/>
  <c r="B107" i="14"/>
  <c r="B110" i="12"/>
  <c r="E103" i="14"/>
  <c r="E101" i="14"/>
  <c r="D103" i="14"/>
  <c r="D101" i="14"/>
  <c r="C103" i="14"/>
  <c r="C101" i="14"/>
  <c r="B103" i="14"/>
  <c r="B101" i="14"/>
  <c r="E95" i="13"/>
  <c r="D95" i="13"/>
  <c r="C95" i="13"/>
  <c r="B95" i="13"/>
  <c r="E100" i="14"/>
  <c r="E96" i="12"/>
  <c r="D100" i="14"/>
  <c r="D96" i="12"/>
  <c r="C100" i="14"/>
  <c r="C96" i="12"/>
  <c r="B100" i="14"/>
  <c r="B96" i="12"/>
  <c r="B91" i="14"/>
  <c r="C91" i="14"/>
  <c r="D91" i="14"/>
  <c r="E91" i="14"/>
  <c r="B92" i="14"/>
  <c r="C92" i="14"/>
  <c r="D92" i="14"/>
  <c r="E92" i="14"/>
  <c r="B94" i="14"/>
  <c r="C94" i="14"/>
  <c r="D94" i="14"/>
  <c r="E94" i="14"/>
  <c r="E85" i="13"/>
  <c r="D85" i="13"/>
  <c r="C85" i="13"/>
  <c r="B85" i="13"/>
  <c r="E85" i="12"/>
  <c r="D85" i="12"/>
  <c r="C85" i="12"/>
  <c r="B85" i="12"/>
  <c r="D86" i="14"/>
  <c r="E85" i="14"/>
  <c r="C86" i="14"/>
  <c r="C85" i="14"/>
  <c r="B86" i="14"/>
  <c r="B85" i="14"/>
  <c r="E75" i="14"/>
  <c r="D85" i="14"/>
  <c r="D75" i="14"/>
  <c r="C75" i="14"/>
  <c r="B75" i="14"/>
  <c r="E84" i="14"/>
  <c r="E82" i="14"/>
  <c r="D84" i="14"/>
  <c r="D82" i="14"/>
  <c r="C84" i="14"/>
  <c r="C82" i="14"/>
  <c r="B84" i="14"/>
  <c r="B82" i="14"/>
  <c r="E83" i="14"/>
  <c r="E71" i="12"/>
  <c r="D83" i="14"/>
  <c r="D71" i="12"/>
  <c r="C83" i="14"/>
  <c r="C71" i="12"/>
  <c r="B83" i="14"/>
  <c r="B71" i="12"/>
  <c r="E69" i="13"/>
  <c r="D69" i="13"/>
  <c r="C69" i="13"/>
  <c r="B69" i="13"/>
  <c r="D77" i="14"/>
  <c r="E58" i="14"/>
  <c r="C77" i="14"/>
  <c r="C58" i="14"/>
  <c r="B77" i="14"/>
  <c r="B58" i="14"/>
  <c r="D78" i="14"/>
  <c r="E76" i="14"/>
  <c r="C78" i="14"/>
  <c r="C76" i="14"/>
  <c r="B78" i="14"/>
  <c r="B76" i="14"/>
  <c r="D76" i="14"/>
  <c r="E79" i="12"/>
  <c r="D79" i="12"/>
  <c r="C79" i="12"/>
  <c r="B79" i="12"/>
  <c r="E74" i="14"/>
  <c r="E78" i="12"/>
  <c r="D74" i="14"/>
  <c r="D78" i="12"/>
  <c r="C74" i="14"/>
  <c r="C78" i="12"/>
  <c r="B74" i="14"/>
  <c r="B78" i="12"/>
  <c r="E70" i="14"/>
  <c r="E68" i="14"/>
  <c r="D70" i="14"/>
  <c r="D68" i="14"/>
  <c r="C70" i="14"/>
  <c r="C68" i="14"/>
  <c r="B70" i="14"/>
  <c r="B68" i="14"/>
  <c r="E64" i="13"/>
  <c r="D64" i="13"/>
  <c r="C64" i="13"/>
  <c r="B64" i="13"/>
  <c r="E67" i="14"/>
  <c r="E64" i="12"/>
  <c r="D67" i="14"/>
  <c r="D64" i="12"/>
  <c r="C67" i="14"/>
  <c r="C64" i="12"/>
  <c r="B67" i="14"/>
  <c r="B64" i="12"/>
  <c r="H50" i="14"/>
  <c r="E61" i="14"/>
  <c r="E59" i="14"/>
  <c r="D61" i="14"/>
  <c r="D59" i="14"/>
  <c r="C61" i="14"/>
  <c r="C59" i="14"/>
  <c r="B61" i="14"/>
  <c r="B59" i="14"/>
  <c r="E54" i="13"/>
  <c r="D54" i="13"/>
  <c r="C54" i="13"/>
  <c r="B54" i="13"/>
  <c r="B55" i="12"/>
  <c r="E53" i="12"/>
  <c r="D58" i="14"/>
  <c r="D53" i="12"/>
  <c r="C53" i="12"/>
  <c r="B53" i="12"/>
  <c r="D53" i="14"/>
  <c r="E52" i="14"/>
  <c r="C53" i="14"/>
  <c r="C52" i="14"/>
  <c r="B53" i="14"/>
  <c r="B52" i="14"/>
  <c r="E40" i="12"/>
  <c r="D52" i="14"/>
  <c r="D40" i="12"/>
  <c r="C40" i="12"/>
  <c r="B40" i="12"/>
  <c r="E51" i="14"/>
  <c r="E49" i="14"/>
  <c r="D51" i="14"/>
  <c r="D49" i="14"/>
  <c r="C51" i="14"/>
  <c r="C49" i="14"/>
  <c r="B51" i="14"/>
  <c r="B49" i="14"/>
  <c r="E50" i="14"/>
  <c r="E39" i="12"/>
  <c r="D50" i="14"/>
  <c r="D39" i="12"/>
  <c r="C50" i="14"/>
  <c r="C39" i="12"/>
  <c r="B50" i="14"/>
  <c r="B39" i="12"/>
  <c r="H39" i="12"/>
  <c r="E38" i="13"/>
  <c r="D38" i="13"/>
  <c r="C38" i="13"/>
  <c r="B38" i="13"/>
  <c r="D45" i="14"/>
  <c r="E43" i="14"/>
  <c r="C45" i="14"/>
  <c r="C43" i="14"/>
  <c r="B45" i="14"/>
  <c r="B43" i="14"/>
  <c r="D44" i="14"/>
  <c r="D49" i="13"/>
  <c r="C44" i="14"/>
  <c r="C49" i="13"/>
  <c r="B44" i="14"/>
  <c r="B49" i="13"/>
  <c r="E42" i="14"/>
  <c r="D43" i="14"/>
  <c r="D42" i="14"/>
  <c r="C42" i="14"/>
  <c r="B42" i="14"/>
  <c r="E47" i="13"/>
  <c r="D47" i="13"/>
  <c r="C47" i="13"/>
  <c r="B47" i="13"/>
  <c r="E41" i="14"/>
  <c r="E46" i="13"/>
  <c r="D41" i="14"/>
  <c r="D46" i="13"/>
  <c r="C41" i="14"/>
  <c r="C46" i="13"/>
  <c r="B41" i="14"/>
  <c r="B46" i="13"/>
  <c r="E37" i="14"/>
  <c r="E35" i="14"/>
  <c r="D37" i="14"/>
  <c r="D35" i="14"/>
  <c r="C37" i="14"/>
  <c r="C35" i="14"/>
  <c r="B37" i="14"/>
  <c r="B35" i="14"/>
  <c r="E33" i="13"/>
  <c r="D33" i="13"/>
  <c r="C33" i="13"/>
  <c r="B33" i="13"/>
  <c r="E34" i="14"/>
  <c r="E32" i="12"/>
  <c r="D34" i="14"/>
  <c r="D32" i="12"/>
  <c r="C34" i="14"/>
  <c r="C32" i="12"/>
  <c r="B34" i="14"/>
  <c r="B32" i="12"/>
  <c r="D118" i="13"/>
  <c r="D117" i="13"/>
  <c r="C118" i="13"/>
  <c r="C117" i="13"/>
  <c r="B118" i="13"/>
  <c r="B117" i="13"/>
  <c r="E119" i="6"/>
  <c r="D119" i="6"/>
  <c r="C119" i="6"/>
  <c r="B119" i="6"/>
  <c r="E115" i="13"/>
  <c r="E117" i="6"/>
  <c r="D115" i="13"/>
  <c r="D117" i="6"/>
  <c r="C115" i="13"/>
  <c r="C117" i="6"/>
  <c r="B115" i="13"/>
  <c r="B117" i="6"/>
  <c r="D112" i="13"/>
  <c r="D114" i="12"/>
  <c r="C112" i="13"/>
  <c r="C114" i="12"/>
  <c r="B112" i="13"/>
  <c r="B114" i="12"/>
  <c r="D111" i="13"/>
  <c r="D113" i="12"/>
  <c r="C111" i="13"/>
  <c r="C113" i="12"/>
  <c r="B111" i="13"/>
  <c r="B113" i="12"/>
  <c r="E110" i="13"/>
  <c r="E112" i="12"/>
  <c r="D110" i="13"/>
  <c r="D112" i="12"/>
  <c r="C110" i="13"/>
  <c r="C112" i="12"/>
  <c r="B110" i="13"/>
  <c r="B112" i="12"/>
  <c r="E111" i="12"/>
  <c r="D111" i="12"/>
  <c r="C111" i="12"/>
  <c r="B111" i="12"/>
  <c r="E108" i="13"/>
  <c r="D108" i="13"/>
  <c r="C108" i="13"/>
  <c r="B108" i="13"/>
  <c r="D104" i="13"/>
  <c r="D103" i="13"/>
  <c r="C104" i="13"/>
  <c r="C103" i="13"/>
  <c r="B104" i="13"/>
  <c r="B103" i="13"/>
  <c r="E102" i="13"/>
  <c r="D102" i="13"/>
  <c r="C102" i="13"/>
  <c r="B102" i="13"/>
  <c r="E101" i="13"/>
  <c r="E65" i="12"/>
  <c r="D101" i="13"/>
  <c r="D65" i="12"/>
  <c r="C101" i="13"/>
  <c r="C65" i="12"/>
  <c r="B101" i="13"/>
  <c r="B65" i="12"/>
  <c r="D97" i="13"/>
  <c r="D96" i="13"/>
  <c r="C97" i="13"/>
  <c r="C96" i="13"/>
  <c r="B97" i="13"/>
  <c r="B96" i="13"/>
  <c r="E101" i="6"/>
  <c r="D101" i="6"/>
  <c r="C101" i="6"/>
  <c r="B101" i="6"/>
  <c r="E94" i="13"/>
  <c r="E99" i="6"/>
  <c r="D94" i="13"/>
  <c r="D99" i="6"/>
  <c r="C94" i="13"/>
  <c r="C99" i="6"/>
  <c r="B94" i="13"/>
  <c r="B99" i="6"/>
  <c r="H101" i="13"/>
  <c r="H70" i="13"/>
  <c r="H115" i="13"/>
  <c r="H94" i="13"/>
  <c r="H84" i="13"/>
  <c r="D87" i="13"/>
  <c r="D86" i="13"/>
  <c r="C87" i="13"/>
  <c r="C86" i="13"/>
  <c r="B87" i="13"/>
  <c r="B86" i="13"/>
  <c r="E83" i="6"/>
  <c r="D83" i="6"/>
  <c r="C83" i="6"/>
  <c r="B83" i="6"/>
  <c r="E84" i="13"/>
  <c r="E81" i="6"/>
  <c r="D84" i="13"/>
  <c r="D81" i="6"/>
  <c r="C84" i="13"/>
  <c r="C81" i="6"/>
  <c r="H63" i="13"/>
  <c r="B84" i="13"/>
  <c r="B81" i="6"/>
  <c r="D81" i="13"/>
  <c r="D82" i="12"/>
  <c r="C81" i="13"/>
  <c r="C82" i="12"/>
  <c r="B81" i="13"/>
  <c r="B82" i="12"/>
  <c r="D80" i="13"/>
  <c r="D81" i="12"/>
  <c r="C80" i="13"/>
  <c r="C81" i="12"/>
  <c r="B80" i="13"/>
  <c r="B81" i="12"/>
  <c r="E79" i="13"/>
  <c r="E80" i="12"/>
  <c r="D79" i="13"/>
  <c r="D80" i="12"/>
  <c r="C79" i="13"/>
  <c r="C80" i="12"/>
  <c r="B79" i="13"/>
  <c r="B80" i="12"/>
  <c r="E78" i="13"/>
  <c r="D78" i="13"/>
  <c r="C78" i="13"/>
  <c r="B78" i="13"/>
  <c r="E77" i="13"/>
  <c r="D77" i="13"/>
  <c r="C77" i="13"/>
  <c r="B77" i="13"/>
  <c r="D73" i="13"/>
  <c r="D72" i="13"/>
  <c r="C73" i="13"/>
  <c r="C72" i="13"/>
  <c r="B73" i="13"/>
  <c r="B72" i="13"/>
  <c r="E70" i="13"/>
  <c r="E54" i="12"/>
  <c r="D70" i="13"/>
  <c r="D54" i="12"/>
  <c r="C70" i="13"/>
  <c r="C54" i="12"/>
  <c r="B70" i="13"/>
  <c r="B54" i="12"/>
  <c r="E71" i="13"/>
  <c r="D71" i="13"/>
  <c r="C71" i="13"/>
  <c r="B71" i="13"/>
  <c r="E55" i="12"/>
  <c r="D55" i="12"/>
  <c r="C55" i="12"/>
  <c r="H39" i="13"/>
  <c r="D66" i="13"/>
  <c r="D65" i="13"/>
  <c r="C66" i="13"/>
  <c r="C65" i="13"/>
  <c r="B66" i="13"/>
  <c r="B65" i="13"/>
  <c r="E65" i="6"/>
  <c r="D65" i="6"/>
  <c r="C65" i="6"/>
  <c r="B65" i="6"/>
  <c r="E63" i="13"/>
  <c r="E63" i="6"/>
  <c r="D63" i="13"/>
  <c r="D63" i="6"/>
  <c r="C63" i="13"/>
  <c r="C63" i="6"/>
  <c r="B63" i="13"/>
  <c r="B63" i="6"/>
  <c r="H53" i="13"/>
  <c r="D56" i="13"/>
  <c r="D55" i="13"/>
  <c r="C56" i="13"/>
  <c r="C55" i="13"/>
  <c r="B56" i="13"/>
  <c r="B55" i="13"/>
  <c r="E46" i="6"/>
  <c r="D46" i="6"/>
  <c r="C46" i="6"/>
  <c r="B46" i="6"/>
  <c r="E53" i="13"/>
  <c r="E44" i="6"/>
  <c r="D53" i="13"/>
  <c r="D44" i="6"/>
  <c r="C53" i="13"/>
  <c r="C44" i="6"/>
  <c r="B53" i="13"/>
  <c r="B44" i="6"/>
  <c r="H32" i="13"/>
  <c r="B48" i="13"/>
  <c r="C48" i="13"/>
  <c r="D48" i="13"/>
  <c r="E48" i="13"/>
  <c r="B50" i="13"/>
  <c r="C50" i="13"/>
  <c r="D50" i="13"/>
  <c r="D42" i="13"/>
  <c r="D41" i="13"/>
  <c r="C42" i="13"/>
  <c r="C41" i="13"/>
  <c r="B42" i="13"/>
  <c r="B41" i="13"/>
  <c r="D35" i="13"/>
  <c r="C35" i="13"/>
  <c r="B35" i="13"/>
  <c r="E39" i="13"/>
  <c r="E27" i="6"/>
  <c r="D39" i="13"/>
  <c r="D27" i="6"/>
  <c r="C39" i="13"/>
  <c r="C27" i="6"/>
  <c r="H27" i="6"/>
  <c r="B39" i="13"/>
  <c r="B27" i="6"/>
  <c r="E40" i="13"/>
  <c r="D40" i="13"/>
  <c r="C40" i="13"/>
  <c r="B40" i="13"/>
  <c r="E29" i="6"/>
  <c r="D29" i="6"/>
  <c r="C29" i="6"/>
  <c r="B29" i="6"/>
  <c r="D34" i="13"/>
  <c r="C34" i="13"/>
  <c r="B34" i="13"/>
  <c r="E28" i="6"/>
  <c r="D28" i="6"/>
  <c r="C28" i="6"/>
  <c r="B28" i="6"/>
  <c r="E32" i="13"/>
  <c r="E26" i="6"/>
  <c r="D32" i="13"/>
  <c r="D26" i="6"/>
  <c r="C32" i="13"/>
  <c r="C26" i="6"/>
  <c r="B32" i="13"/>
  <c r="B26" i="6"/>
  <c r="H26" i="6"/>
  <c r="D120" i="12"/>
  <c r="D121" i="6"/>
  <c r="C120" i="12"/>
  <c r="C121" i="6"/>
  <c r="B120" i="12"/>
  <c r="B121" i="6"/>
  <c r="D120" i="6"/>
  <c r="C120" i="6"/>
  <c r="B120" i="6"/>
  <c r="D85" i="6"/>
  <c r="C85" i="6"/>
  <c r="B85" i="6"/>
  <c r="D84" i="6"/>
  <c r="C84" i="6"/>
  <c r="B84" i="6"/>
  <c r="E118" i="12"/>
  <c r="E116" i="6"/>
  <c r="D118" i="12"/>
  <c r="D116" i="6"/>
  <c r="C118" i="12"/>
  <c r="C116" i="6"/>
  <c r="B118" i="12"/>
  <c r="B116" i="6"/>
  <c r="E119" i="12"/>
  <c r="D119" i="12"/>
  <c r="C119" i="12"/>
  <c r="B119" i="12"/>
  <c r="E118" i="6"/>
  <c r="D118" i="6"/>
  <c r="C118" i="6"/>
  <c r="B118" i="6"/>
  <c r="E71" i="6"/>
  <c r="D71" i="6"/>
  <c r="C71" i="6"/>
  <c r="B71" i="6"/>
  <c r="D106" i="12"/>
  <c r="E105" i="12"/>
  <c r="C106" i="12"/>
  <c r="C105" i="12"/>
  <c r="B106" i="12"/>
  <c r="B105" i="12"/>
  <c r="D105" i="12"/>
  <c r="D99" i="12"/>
  <c r="D103" i="6"/>
  <c r="C99" i="12"/>
  <c r="C103" i="6"/>
  <c r="B99" i="12"/>
  <c r="B103" i="6"/>
  <c r="E98" i="12"/>
  <c r="D98" i="12"/>
  <c r="C98" i="12"/>
  <c r="B98" i="12"/>
  <c r="E97" i="12"/>
  <c r="E100" i="6"/>
  <c r="D97" i="12"/>
  <c r="D100" i="6"/>
  <c r="C97" i="12"/>
  <c r="C100" i="6"/>
  <c r="B97" i="12"/>
  <c r="B100" i="6"/>
  <c r="E102" i="6"/>
  <c r="D102" i="6"/>
  <c r="C102" i="6"/>
  <c r="B102" i="6"/>
  <c r="H103" i="12"/>
  <c r="H118" i="12"/>
  <c r="H97" i="12"/>
  <c r="H33" i="12"/>
  <c r="H119" i="12"/>
  <c r="D88" i="12"/>
  <c r="C88" i="12"/>
  <c r="B88" i="12"/>
  <c r="E87" i="12"/>
  <c r="D87" i="12"/>
  <c r="C87" i="12"/>
  <c r="B87" i="12"/>
  <c r="H87" i="12"/>
  <c r="H85" i="12"/>
  <c r="E86" i="12"/>
  <c r="E80" i="6"/>
  <c r="D86" i="12"/>
  <c r="D80" i="6"/>
  <c r="C86" i="12"/>
  <c r="C80" i="6"/>
  <c r="B86" i="12"/>
  <c r="B80" i="6"/>
  <c r="H82" i="6"/>
  <c r="E82" i="6"/>
  <c r="D82" i="6"/>
  <c r="C82" i="6"/>
  <c r="B82" i="6"/>
  <c r="B66" i="6"/>
  <c r="E72" i="12"/>
  <c r="D72" i="12"/>
  <c r="C72" i="12"/>
  <c r="B72" i="12"/>
  <c r="D74" i="12"/>
  <c r="E73" i="12"/>
  <c r="C74" i="12"/>
  <c r="C73" i="12"/>
  <c r="B74" i="12"/>
  <c r="B73" i="12"/>
  <c r="D73" i="12"/>
  <c r="E51" i="6"/>
  <c r="D51" i="6"/>
  <c r="C51" i="6"/>
  <c r="B51" i="6"/>
  <c r="D67" i="12"/>
  <c r="C67" i="12"/>
  <c r="B67" i="12"/>
  <c r="E64" i="6"/>
  <c r="D64" i="6"/>
  <c r="C64" i="6"/>
  <c r="B64" i="6"/>
  <c r="H71" i="12"/>
  <c r="H86" i="12"/>
  <c r="H65" i="12"/>
  <c r="H54" i="12"/>
  <c r="E66" i="12"/>
  <c r="D66" i="12"/>
  <c r="C66" i="12"/>
  <c r="B66" i="12"/>
  <c r="E66" i="6"/>
  <c r="D66" i="6"/>
  <c r="C66" i="6"/>
  <c r="D56" i="12" l="1"/>
  <c r="D48" i="6"/>
  <c r="C56" i="12"/>
  <c r="C48" i="6"/>
  <c r="B56" i="12"/>
  <c r="B48" i="6"/>
  <c r="E43" i="6"/>
  <c r="D43" i="6"/>
  <c r="C43" i="6"/>
  <c r="B43" i="6"/>
  <c r="E45" i="6"/>
  <c r="D45" i="6"/>
  <c r="C45" i="6"/>
  <c r="B45" i="6"/>
  <c r="D50" i="12"/>
  <c r="E48" i="12"/>
  <c r="C50" i="12"/>
  <c r="C48" i="12"/>
  <c r="B50" i="12"/>
  <c r="B48" i="12"/>
  <c r="D49" i="12"/>
  <c r="E34" i="12"/>
  <c r="D34" i="12"/>
  <c r="C49" i="12"/>
  <c r="C34" i="12"/>
  <c r="B49" i="12"/>
  <c r="B34" i="12"/>
  <c r="E47" i="12"/>
  <c r="D48" i="12"/>
  <c r="D47" i="12"/>
  <c r="C47" i="12"/>
  <c r="B47" i="12"/>
  <c r="E41" i="12"/>
  <c r="D41" i="12"/>
  <c r="C41" i="12"/>
  <c r="B41" i="12"/>
  <c r="H117" i="12" s="1"/>
  <c r="E46" i="12"/>
  <c r="E34" i="6"/>
  <c r="D46" i="12"/>
  <c r="D34" i="6"/>
  <c r="C46" i="12"/>
  <c r="C34" i="6"/>
  <c r="B46" i="12"/>
  <c r="B34" i="6"/>
  <c r="D42" i="12"/>
  <c r="C42" i="12"/>
  <c r="B42" i="12"/>
  <c r="D35" i="12"/>
  <c r="D30" i="6"/>
  <c r="C35" i="12"/>
  <c r="C30" i="6"/>
  <c r="B35" i="12"/>
  <c r="B30" i="6"/>
  <c r="E33" i="12"/>
  <c r="D33" i="12"/>
  <c r="C33" i="12"/>
  <c r="B33" i="12"/>
  <c r="B11" i="9"/>
  <c r="D129" i="6"/>
  <c r="D128" i="6"/>
  <c r="C129" i="6"/>
  <c r="C128" i="6"/>
  <c r="B129" i="6"/>
  <c r="B128" i="6"/>
  <c r="E126" i="6"/>
  <c r="C126" i="6"/>
  <c r="B126" i="6"/>
  <c r="E127" i="6"/>
  <c r="D127" i="6"/>
  <c r="C127" i="6"/>
  <c r="B127" i="6"/>
  <c r="E125" i="6"/>
  <c r="D126" i="6"/>
  <c r="D125" i="6"/>
  <c r="C125" i="6"/>
  <c r="B125" i="6"/>
  <c r="E124" i="6"/>
  <c r="E124" i="4"/>
  <c r="D124" i="6"/>
  <c r="D124" i="4"/>
  <c r="C124" i="6"/>
  <c r="C124" i="4"/>
  <c r="B124" i="6"/>
  <c r="B124" i="4"/>
  <c r="E119" i="4"/>
  <c r="D119" i="4"/>
  <c r="C119" i="4"/>
  <c r="B119" i="4"/>
  <c r="E118" i="4"/>
  <c r="D118" i="4"/>
  <c r="C118" i="4"/>
  <c r="B118" i="4"/>
  <c r="E117" i="4" l="1"/>
  <c r="D117" i="4"/>
  <c r="C117" i="4"/>
  <c r="B117" i="4"/>
  <c r="E116" i="4"/>
  <c r="D116" i="4"/>
  <c r="C116" i="4"/>
  <c r="B116" i="4"/>
  <c r="H117" i="6"/>
  <c r="H99" i="6"/>
  <c r="H116" i="6"/>
  <c r="H100" i="6"/>
  <c r="D112" i="6"/>
  <c r="D111" i="6"/>
  <c r="C112" i="6"/>
  <c r="C111" i="6"/>
  <c r="B112" i="6"/>
  <c r="B111" i="6"/>
  <c r="E109" i="6"/>
  <c r="C109" i="6"/>
  <c r="B109" i="6"/>
  <c r="E110" i="6"/>
  <c r="D110" i="6"/>
  <c r="C110" i="6"/>
  <c r="B110" i="6"/>
  <c r="E108" i="6"/>
  <c r="D109" i="6"/>
  <c r="D108" i="6"/>
  <c r="C108" i="6"/>
  <c r="B108" i="6"/>
  <c r="E107" i="6"/>
  <c r="E107" i="4"/>
  <c r="D107" i="6"/>
  <c r="D107" i="4"/>
  <c r="C107" i="6"/>
  <c r="C107" i="4"/>
  <c r="B107" i="6"/>
  <c r="B107" i="4"/>
  <c r="D104" i="6" l="1"/>
  <c r="C104" i="6"/>
  <c r="B104" i="6"/>
  <c r="E101" i="4"/>
  <c r="D101" i="4"/>
  <c r="C101" i="4"/>
  <c r="B101" i="4"/>
  <c r="E102" i="4"/>
  <c r="D102" i="4"/>
  <c r="C102" i="4"/>
  <c r="B102" i="4"/>
  <c r="H91" i="6"/>
  <c r="H122" i="5"/>
  <c r="H82" i="4"/>
  <c r="E99" i="4"/>
  <c r="D99" i="4"/>
  <c r="C99" i="4"/>
  <c r="B99" i="4"/>
  <c r="H81" i="6"/>
  <c r="H80" i="6"/>
  <c r="D93" i="6"/>
  <c r="D92" i="6"/>
  <c r="C93" i="6"/>
  <c r="C92" i="6"/>
  <c r="B93" i="6"/>
  <c r="B92" i="6"/>
  <c r="E90" i="6"/>
  <c r="D90" i="6"/>
  <c r="C90" i="6"/>
  <c r="B90" i="6"/>
  <c r="E91" i="6"/>
  <c r="D91" i="6"/>
  <c r="C91" i="6"/>
  <c r="B91" i="6"/>
  <c r="E89" i="6"/>
  <c r="D89" i="6"/>
  <c r="C89" i="6"/>
  <c r="B89" i="6"/>
  <c r="E88" i="6" l="1"/>
  <c r="E88" i="4"/>
  <c r="D88" i="6"/>
  <c r="D88" i="4"/>
  <c r="C88" i="6"/>
  <c r="C88" i="4"/>
  <c r="B88" i="6"/>
  <c r="B88" i="4"/>
  <c r="E79" i="4" l="1"/>
  <c r="D79" i="4"/>
  <c r="C79" i="4"/>
  <c r="B79" i="4"/>
  <c r="E82" i="4"/>
  <c r="D82" i="4"/>
  <c r="C82" i="4"/>
  <c r="B82" i="4"/>
  <c r="E80" i="4"/>
  <c r="D80" i="4"/>
  <c r="C80" i="4"/>
  <c r="B80" i="4"/>
  <c r="H64" i="6"/>
  <c r="H63" i="6"/>
  <c r="D76" i="6"/>
  <c r="D75" i="6"/>
  <c r="C76" i="6"/>
  <c r="C75" i="6"/>
  <c r="B76" i="6"/>
  <c r="B75" i="6"/>
  <c r="E73" i="6"/>
  <c r="D73" i="6"/>
  <c r="C73" i="6"/>
  <c r="B73" i="6"/>
  <c r="E74" i="6"/>
  <c r="D74" i="6"/>
  <c r="C74" i="6"/>
  <c r="B74" i="6"/>
  <c r="E72" i="6"/>
  <c r="D72" i="6"/>
  <c r="C72" i="6"/>
  <c r="B72" i="6"/>
  <c r="E71" i="4"/>
  <c r="D71" i="4"/>
  <c r="C71" i="4"/>
  <c r="B71" i="4"/>
  <c r="D68" i="6"/>
  <c r="D67" i="6"/>
  <c r="C68" i="6"/>
  <c r="C67" i="6"/>
  <c r="B68" i="6"/>
  <c r="B67" i="6"/>
  <c r="E65" i="4"/>
  <c r="D65" i="4"/>
  <c r="C65" i="4" l="1"/>
  <c r="B65" i="4"/>
  <c r="E62" i="4"/>
  <c r="D62" i="4"/>
  <c r="C62" i="4"/>
  <c r="B62" i="4" l="1"/>
  <c r="E64" i="4"/>
  <c r="D64" i="4"/>
  <c r="C64" i="4"/>
  <c r="B64" i="4"/>
  <c r="H44" i="6"/>
  <c r="D56" i="6"/>
  <c r="D55" i="6"/>
  <c r="C56" i="6"/>
  <c r="C55" i="6"/>
  <c r="B56" i="6"/>
  <c r="B55" i="6"/>
  <c r="E53" i="6"/>
  <c r="C53" i="6"/>
  <c r="B53" i="6"/>
  <c r="E54" i="6"/>
  <c r="D54" i="6"/>
  <c r="C54" i="6"/>
  <c r="B54" i="6"/>
  <c r="E52" i="6"/>
  <c r="D53" i="6"/>
  <c r="D52" i="6"/>
  <c r="C52" i="6"/>
  <c r="B52" i="6"/>
  <c r="E50" i="4"/>
  <c r="D50" i="4"/>
  <c r="C50" i="4"/>
  <c r="B50" i="4"/>
  <c r="D47" i="6"/>
  <c r="C47" i="6"/>
  <c r="B47" i="6"/>
  <c r="E45" i="4"/>
  <c r="D45" i="4"/>
  <c r="C45" i="4"/>
  <c r="B45" i="4"/>
  <c r="E42" i="4"/>
  <c r="D42" i="4"/>
  <c r="C42" i="4"/>
  <c r="B42" i="4"/>
  <c r="H26" i="4"/>
  <c r="B43" i="4"/>
  <c r="E44" i="4"/>
  <c r="D44" i="4"/>
  <c r="C44" i="4"/>
  <c r="B44" i="4"/>
  <c r="H43" i="6"/>
  <c r="D39" i="6" l="1"/>
  <c r="D38" i="6"/>
  <c r="C39" i="6"/>
  <c r="C38" i="6"/>
  <c r="B39" i="6"/>
  <c r="B38" i="6"/>
  <c r="E36" i="6"/>
  <c r="D36" i="6"/>
  <c r="C36" i="6"/>
  <c r="B36" i="6"/>
  <c r="E37" i="6"/>
  <c r="D37" i="6"/>
  <c r="C37" i="6"/>
  <c r="B37" i="6"/>
  <c r="E35" i="6"/>
  <c r="D35" i="6"/>
  <c r="C35" i="6"/>
  <c r="B35" i="6"/>
  <c r="E33" i="4"/>
  <c r="D33" i="4"/>
  <c r="C33" i="4"/>
  <c r="B33" i="4" l="1"/>
  <c r="D31" i="6"/>
  <c r="C31" i="6"/>
  <c r="B31" i="6"/>
  <c r="E25" i="4"/>
  <c r="D25" i="4"/>
  <c r="C25" i="4"/>
  <c r="B25" i="4" l="1"/>
  <c r="E28" i="4"/>
  <c r="D28" i="4"/>
  <c r="C28" i="4"/>
  <c r="B28" i="4"/>
  <c r="H27" i="4"/>
  <c r="E26" i="4"/>
  <c r="D26" i="4"/>
  <c r="C26" i="4"/>
  <c r="B26" i="4"/>
  <c r="D200" i="5" l="1"/>
  <c r="D198" i="5"/>
  <c r="C200" i="5"/>
  <c r="C198" i="5"/>
  <c r="B200" i="5"/>
  <c r="B198" i="5"/>
  <c r="D199" i="5"/>
  <c r="E178" i="5"/>
  <c r="C199" i="5"/>
  <c r="C178" i="5"/>
  <c r="B199" i="5"/>
  <c r="B178" i="5"/>
  <c r="D197" i="5"/>
  <c r="C197" i="5"/>
  <c r="B197" i="5"/>
  <c r="E196" i="5"/>
  <c r="C196" i="5"/>
  <c r="B196" i="5"/>
  <c r="E195" i="5"/>
  <c r="D196" i="5"/>
  <c r="D195" i="5"/>
  <c r="C195" i="5"/>
  <c r="B195" i="5"/>
  <c r="E187" i="5"/>
  <c r="D187" i="5"/>
  <c r="C187" i="5"/>
  <c r="B187" i="5"/>
  <c r="D191" i="5"/>
  <c r="D190" i="5"/>
  <c r="C191" i="5"/>
  <c r="C190" i="5"/>
  <c r="B191" i="5"/>
  <c r="B190" i="5"/>
  <c r="D189" i="5"/>
  <c r="C189" i="5"/>
  <c r="B189" i="5"/>
  <c r="E188" i="5"/>
  <c r="E179" i="5"/>
  <c r="D188" i="5"/>
  <c r="D179" i="5"/>
  <c r="C188" i="5"/>
  <c r="C179" i="5"/>
  <c r="B188" i="5"/>
  <c r="B179" i="5"/>
  <c r="D181" i="5"/>
  <c r="C181" i="5"/>
  <c r="B181" i="5"/>
  <c r="D183" i="5"/>
  <c r="D182" i="5"/>
  <c r="C183" i="5"/>
  <c r="C182" i="5"/>
  <c r="B183" i="5"/>
  <c r="B182" i="5"/>
  <c r="D180" i="5" l="1"/>
  <c r="C180" i="5"/>
  <c r="B180" i="5"/>
  <c r="D178" i="5"/>
  <c r="H188" i="5"/>
  <c r="H160" i="5"/>
  <c r="H179" i="5"/>
  <c r="H152" i="5"/>
  <c r="D171" i="5"/>
  <c r="D169" i="5"/>
  <c r="C171" i="5"/>
  <c r="C169" i="5"/>
  <c r="B171" i="5"/>
  <c r="B169" i="5"/>
  <c r="D170" i="5"/>
  <c r="E151" i="5"/>
  <c r="C170" i="5"/>
  <c r="C151" i="5"/>
  <c r="B170" i="5"/>
  <c r="B151" i="5"/>
  <c r="D168" i="5"/>
  <c r="C168" i="5"/>
  <c r="B168" i="5"/>
  <c r="E167" i="5"/>
  <c r="C167" i="5"/>
  <c r="B167" i="5"/>
  <c r="E166" i="5"/>
  <c r="D167" i="5"/>
  <c r="D166" i="5"/>
  <c r="C166" i="5"/>
  <c r="B166" i="5"/>
  <c r="E158" i="5"/>
  <c r="D158" i="5"/>
  <c r="C158" i="5"/>
  <c r="B158" i="5"/>
  <c r="D162" i="5"/>
  <c r="D161" i="5"/>
  <c r="C162" i="5"/>
  <c r="C161" i="5"/>
  <c r="B162" i="5"/>
  <c r="B161" i="5"/>
  <c r="D154" i="5"/>
  <c r="C154" i="5"/>
  <c r="B154" i="5"/>
  <c r="D160" i="5"/>
  <c r="D152" i="5"/>
  <c r="C160" i="5"/>
  <c r="C152" i="5"/>
  <c r="B160" i="5"/>
  <c r="B152" i="5"/>
  <c r="H43" i="5"/>
  <c r="E159" i="5"/>
  <c r="D159" i="5"/>
  <c r="C159" i="5"/>
  <c r="B159" i="5"/>
  <c r="D155" i="5"/>
  <c r="C155" i="5"/>
  <c r="B155" i="5"/>
  <c r="D153" i="5"/>
  <c r="C153" i="5"/>
  <c r="B153" i="5"/>
  <c r="H121" i="5"/>
  <c r="H93" i="5"/>
  <c r="H99" i="4"/>
  <c r="E150" i="5"/>
  <c r="D151" i="5" l="1"/>
  <c r="D150" i="5"/>
  <c r="C150" i="5"/>
  <c r="B150" i="5"/>
  <c r="H142" i="5" l="1"/>
  <c r="H123" i="5"/>
  <c r="H38" i="1"/>
  <c r="B38" i="1"/>
  <c r="D143" i="5" l="1"/>
  <c r="D141" i="5"/>
  <c r="C143" i="5"/>
  <c r="C141" i="5"/>
  <c r="B143" i="5"/>
  <c r="B141" i="5"/>
  <c r="D142" i="5"/>
  <c r="E122" i="5"/>
  <c r="C142" i="5"/>
  <c r="C122" i="5"/>
  <c r="B142" i="5"/>
  <c r="B122" i="5"/>
  <c r="D140" i="5"/>
  <c r="C140" i="5"/>
  <c r="B140" i="5"/>
  <c r="E139" i="5"/>
  <c r="C139" i="5"/>
  <c r="B139" i="5"/>
  <c r="E138" i="5"/>
  <c r="D139" i="5"/>
  <c r="D138" i="5"/>
  <c r="C138" i="5"/>
  <c r="B138" i="5"/>
  <c r="E131" i="5"/>
  <c r="D131" i="5"/>
  <c r="C131" i="5"/>
  <c r="B131" i="5"/>
  <c r="D134" i="5"/>
  <c r="D133" i="5"/>
  <c r="C134" i="5"/>
  <c r="C133" i="5"/>
  <c r="B134" i="5"/>
  <c r="B133" i="5"/>
  <c r="D132" i="5"/>
  <c r="C132" i="5"/>
  <c r="B132" i="5"/>
  <c r="D124" i="5"/>
  <c r="C124" i="5"/>
  <c r="B124" i="5"/>
  <c r="E130" i="5"/>
  <c r="E121" i="5"/>
  <c r="D130" i="5"/>
  <c r="D121" i="5"/>
  <c r="C130" i="5"/>
  <c r="C121" i="5"/>
  <c r="B130" i="5"/>
  <c r="B121" i="5"/>
  <c r="H130" i="5"/>
  <c r="H102" i="5"/>
  <c r="D126" i="5"/>
  <c r="D125" i="5"/>
  <c r="C126" i="5"/>
  <c r="C125" i="5"/>
  <c r="B126" i="5"/>
  <c r="B125" i="5"/>
  <c r="D123" i="5"/>
  <c r="C123" i="5"/>
  <c r="B123" i="5"/>
  <c r="D122" i="5"/>
  <c r="D94" i="5"/>
  <c r="C94" i="5"/>
  <c r="B94" i="5"/>
  <c r="E92" i="5"/>
  <c r="D92" i="5"/>
  <c r="C92" i="5"/>
  <c r="B92" i="5"/>
  <c r="H80" i="4"/>
  <c r="D114" i="5"/>
  <c r="D112" i="5"/>
  <c r="C114" i="5"/>
  <c r="C112" i="5"/>
  <c r="B114" i="5"/>
  <c r="B112" i="5"/>
  <c r="D113" i="5"/>
  <c r="C113" i="5"/>
  <c r="B113" i="5"/>
  <c r="D111" i="5"/>
  <c r="C111" i="5"/>
  <c r="B111" i="5"/>
  <c r="E109" i="5"/>
  <c r="C109" i="5"/>
  <c r="B109" i="5"/>
  <c r="E110" i="5"/>
  <c r="D110" i="5"/>
  <c r="D109" i="5"/>
  <c r="C110" i="5"/>
  <c r="B110" i="5"/>
  <c r="E101" i="5"/>
  <c r="D101" i="5"/>
  <c r="C101" i="5"/>
  <c r="B101" i="5"/>
  <c r="D105" i="5"/>
  <c r="D104" i="5"/>
  <c r="C105" i="5"/>
  <c r="C104" i="5"/>
  <c r="B105" i="5"/>
  <c r="B104" i="5"/>
  <c r="D103" i="5"/>
  <c r="C103" i="5"/>
  <c r="B103" i="5"/>
  <c r="E102" i="5"/>
  <c r="D102" i="5"/>
  <c r="C102" i="5"/>
  <c r="B102" i="5"/>
  <c r="H74" i="5"/>
  <c r="H65" i="5"/>
  <c r="D95" i="5"/>
  <c r="C95" i="5"/>
  <c r="B95" i="5"/>
  <c r="D97" i="5"/>
  <c r="D96" i="5"/>
  <c r="C97" i="5"/>
  <c r="C96" i="5"/>
  <c r="B97" i="5"/>
  <c r="B96" i="5"/>
  <c r="E93" i="5"/>
  <c r="E63" i="4"/>
  <c r="D93" i="5"/>
  <c r="D63" i="4"/>
  <c r="C93" i="5"/>
  <c r="C63" i="4"/>
  <c r="B93" i="5"/>
  <c r="B63" i="4"/>
  <c r="D85" i="5"/>
  <c r="D83" i="5"/>
  <c r="C85" i="5"/>
  <c r="C83" i="5"/>
  <c r="B85" i="5"/>
  <c r="B83" i="5"/>
  <c r="D84" i="5"/>
  <c r="E63" i="5"/>
  <c r="C84" i="5"/>
  <c r="C63" i="5"/>
  <c r="B84" i="5"/>
  <c r="B63" i="5"/>
  <c r="D82" i="5"/>
  <c r="C82" i="5"/>
  <c r="B82" i="5"/>
  <c r="E81" i="5"/>
  <c r="D81" i="5"/>
  <c r="C81" i="5"/>
  <c r="B81" i="5"/>
  <c r="E80" i="5"/>
  <c r="D80" i="5"/>
  <c r="C80" i="5"/>
  <c r="B80" i="5"/>
  <c r="E72" i="5"/>
  <c r="D72" i="5"/>
  <c r="C72" i="5"/>
  <c r="B72" i="5"/>
  <c r="D76" i="5"/>
  <c r="D75" i="5"/>
  <c r="C76" i="5"/>
  <c r="C75" i="5"/>
  <c r="B76" i="5"/>
  <c r="B75" i="5"/>
  <c r="D74" i="5"/>
  <c r="E43" i="4"/>
  <c r="C74" i="5"/>
  <c r="C43" i="4"/>
  <c r="B74" i="5"/>
  <c r="E73" i="5"/>
  <c r="D73" i="5"/>
  <c r="C73" i="5"/>
  <c r="C68" i="5"/>
  <c r="B73" i="5"/>
  <c r="B68" i="5"/>
  <c r="D68" i="5"/>
  <c r="D65" i="5"/>
  <c r="D67" i="5"/>
  <c r="C67" i="5"/>
  <c r="B67" i="5"/>
  <c r="D66" i="5"/>
  <c r="C66" i="5"/>
  <c r="B66" i="5"/>
  <c r="C65" i="5"/>
  <c r="B65" i="5"/>
  <c r="H44" i="4"/>
  <c r="H34" i="5"/>
  <c r="E64" i="5"/>
  <c r="D64" i="5"/>
  <c r="D63" i="5"/>
  <c r="C64" i="5"/>
  <c r="B64" i="5"/>
  <c r="B35" i="5"/>
  <c r="D56" i="5"/>
  <c r="D54" i="5"/>
  <c r="C56" i="5"/>
  <c r="C54" i="5"/>
  <c r="B56" i="5"/>
  <c r="B54" i="5"/>
  <c r="D55" i="5"/>
  <c r="E35" i="5"/>
  <c r="D35" i="5"/>
  <c r="C55" i="5"/>
  <c r="C35" i="5"/>
  <c r="B55" i="5"/>
  <c r="D53" i="5"/>
  <c r="C53" i="5"/>
  <c r="B53" i="5"/>
  <c r="E52" i="5"/>
  <c r="C52" i="5"/>
  <c r="B52" i="5"/>
  <c r="E51" i="5"/>
  <c r="D52" i="5"/>
  <c r="D51" i="5"/>
  <c r="C51" i="5"/>
  <c r="B51" i="5"/>
  <c r="E44" i="5"/>
  <c r="D44" i="5"/>
  <c r="C44" i="5"/>
  <c r="B44" i="5"/>
  <c r="D47" i="5"/>
  <c r="D45" i="5"/>
  <c r="C47" i="5"/>
  <c r="C45" i="5"/>
  <c r="B47" i="5"/>
  <c r="B45" i="5"/>
  <c r="D46" i="5"/>
  <c r="C46" i="5"/>
  <c r="B46" i="5"/>
  <c r="E43" i="5"/>
  <c r="D43" i="5"/>
  <c r="C43" i="5"/>
  <c r="B43" i="5"/>
  <c r="H117" i="4"/>
  <c r="E34" i="5"/>
  <c r="D34" i="5"/>
  <c r="C34" i="5"/>
  <c r="B34" i="5"/>
  <c r="D39" i="5"/>
  <c r="D38" i="5"/>
  <c r="D36" i="5"/>
  <c r="C39" i="5"/>
  <c r="C38" i="5"/>
  <c r="B39" i="5"/>
  <c r="B38" i="5"/>
  <c r="D37" i="5"/>
  <c r="C37" i="5"/>
  <c r="B37" i="5"/>
  <c r="C36" i="5"/>
  <c r="B36" i="5"/>
  <c r="E27" i="4"/>
  <c r="D27" i="4"/>
  <c r="C27" i="4"/>
  <c r="B27" i="4"/>
  <c r="AZ216" i="9"/>
  <c r="AY216" i="9"/>
  <c r="AX216" i="9"/>
  <c r="AW216" i="9"/>
  <c r="AV216" i="9"/>
  <c r="AU216" i="9"/>
  <c r="AT216" i="9"/>
  <c r="AS216" i="9"/>
  <c r="AR216" i="9"/>
  <c r="AQ216" i="9"/>
  <c r="AP216" i="9"/>
  <c r="AO216" i="9"/>
  <c r="AN216" i="9"/>
  <c r="AM216" i="9"/>
  <c r="AL216" i="9"/>
  <c r="AK216" i="9"/>
  <c r="AJ216" i="9"/>
  <c r="AI216" i="9"/>
  <c r="AH216" i="9"/>
  <c r="AG216" i="9"/>
  <c r="AF216" i="9"/>
  <c r="AE216" i="9"/>
  <c r="AD216" i="9"/>
  <c r="AC216" i="9"/>
  <c r="AB216" i="9"/>
  <c r="AA216" i="9"/>
  <c r="Z216" i="9"/>
  <c r="Y216" i="9"/>
  <c r="X216" i="9"/>
  <c r="W216" i="9"/>
  <c r="V216" i="9"/>
  <c r="U216" i="9"/>
  <c r="T216" i="9"/>
  <c r="S216" i="9"/>
  <c r="R216" i="9"/>
  <c r="Q216" i="9"/>
  <c r="P216" i="9"/>
  <c r="O216" i="9"/>
  <c r="N216" i="9"/>
  <c r="M216" i="9"/>
  <c r="L216" i="9"/>
  <c r="K216" i="9"/>
  <c r="J216" i="9"/>
  <c r="I216" i="9"/>
  <c r="H216" i="9"/>
  <c r="G216" i="9"/>
  <c r="F216" i="9"/>
  <c r="E216" i="9"/>
  <c r="D216" i="9"/>
  <c r="C216" i="9"/>
  <c r="AZ215" i="9"/>
  <c r="AY215" i="9"/>
  <c r="AX215" i="9"/>
  <c r="AW215" i="9"/>
  <c r="AV215" i="9"/>
  <c r="AU215" i="9"/>
  <c r="AT215" i="9"/>
  <c r="AS215" i="9"/>
  <c r="AR215" i="9"/>
  <c r="AQ215" i="9"/>
  <c r="AP215" i="9"/>
  <c r="AO215" i="9"/>
  <c r="AN215" i="9"/>
  <c r="AM215" i="9"/>
  <c r="AL215" i="9"/>
  <c r="AK215" i="9"/>
  <c r="AJ215" i="9"/>
  <c r="AI215" i="9"/>
  <c r="AH215" i="9"/>
  <c r="AG215" i="9"/>
  <c r="AF215" i="9"/>
  <c r="AE215" i="9"/>
  <c r="AD215" i="9"/>
  <c r="AC215" i="9"/>
  <c r="AB215" i="9"/>
  <c r="AA215" i="9"/>
  <c r="Z215" i="9"/>
  <c r="Y215" i="9"/>
  <c r="X215" i="9"/>
  <c r="W215" i="9"/>
  <c r="V215" i="9"/>
  <c r="U215" i="9"/>
  <c r="T215" i="9"/>
  <c r="S215" i="9"/>
  <c r="R215" i="9"/>
  <c r="Q215" i="9"/>
  <c r="P215" i="9"/>
  <c r="O215" i="9"/>
  <c r="N215" i="9"/>
  <c r="M215" i="9"/>
  <c r="L215" i="9"/>
  <c r="K215" i="9"/>
  <c r="J215" i="9"/>
  <c r="I215" i="9"/>
  <c r="H215" i="9"/>
  <c r="G215" i="9"/>
  <c r="F215" i="9"/>
  <c r="E215" i="9"/>
  <c r="D215" i="9"/>
  <c r="C215" i="9"/>
  <c r="AZ214" i="9"/>
  <c r="AY214" i="9"/>
  <c r="AX214" i="9"/>
  <c r="AW214" i="9"/>
  <c r="AV214" i="9"/>
  <c r="AU214" i="9"/>
  <c r="AT214" i="9"/>
  <c r="AS214" i="9"/>
  <c r="AR214" i="9"/>
  <c r="AQ214" i="9"/>
  <c r="AP214" i="9"/>
  <c r="AO214" i="9"/>
  <c r="AN214" i="9"/>
  <c r="AM214" i="9"/>
  <c r="AL214" i="9"/>
  <c r="AK214" i="9"/>
  <c r="AJ214" i="9"/>
  <c r="AI214" i="9"/>
  <c r="AH214" i="9"/>
  <c r="AG214" i="9"/>
  <c r="AF214" i="9"/>
  <c r="AE214" i="9"/>
  <c r="AD214" i="9"/>
  <c r="AC214" i="9"/>
  <c r="AB214" i="9"/>
  <c r="AA214" i="9"/>
  <c r="Z214" i="9"/>
  <c r="Y214" i="9"/>
  <c r="X214" i="9"/>
  <c r="W214" i="9"/>
  <c r="V214" i="9"/>
  <c r="U214" i="9"/>
  <c r="T214" i="9"/>
  <c r="S214" i="9"/>
  <c r="R214" i="9"/>
  <c r="Q214" i="9"/>
  <c r="P214" i="9"/>
  <c r="O214" i="9"/>
  <c r="N214" i="9"/>
  <c r="M214" i="9"/>
  <c r="L214" i="9"/>
  <c r="K214" i="9"/>
  <c r="J214" i="9"/>
  <c r="I214" i="9"/>
  <c r="H214" i="9"/>
  <c r="G214" i="9"/>
  <c r="F214" i="9"/>
  <c r="E214" i="9"/>
  <c r="D214" i="9"/>
  <c r="C214" i="9"/>
  <c r="AZ213" i="9"/>
  <c r="AY213" i="9"/>
  <c r="AX213" i="9"/>
  <c r="AW213" i="9"/>
  <c r="AV213" i="9"/>
  <c r="AU213" i="9"/>
  <c r="AT213" i="9"/>
  <c r="AS213" i="9"/>
  <c r="AR213" i="9"/>
  <c r="AQ213" i="9"/>
  <c r="AP213" i="9"/>
  <c r="AO213" i="9"/>
  <c r="AN213" i="9"/>
  <c r="AM213" i="9"/>
  <c r="AL213" i="9"/>
  <c r="AK213" i="9"/>
  <c r="AJ213" i="9"/>
  <c r="AI213" i="9"/>
  <c r="AH213" i="9"/>
  <c r="AG213" i="9"/>
  <c r="AF213" i="9"/>
  <c r="AE213" i="9"/>
  <c r="AD213" i="9"/>
  <c r="AC213" i="9"/>
  <c r="AB213" i="9"/>
  <c r="AA213" i="9"/>
  <c r="Z213" i="9"/>
  <c r="Y213" i="9"/>
  <c r="X213" i="9"/>
  <c r="W213" i="9"/>
  <c r="V213" i="9"/>
  <c r="U213" i="9"/>
  <c r="T213" i="9"/>
  <c r="S213" i="9"/>
  <c r="R213" i="9"/>
  <c r="Q213" i="9"/>
  <c r="P213" i="9"/>
  <c r="O213" i="9"/>
  <c r="N213" i="9"/>
  <c r="M213" i="9"/>
  <c r="L213" i="9"/>
  <c r="K213" i="9"/>
  <c r="J213" i="9"/>
  <c r="I213" i="9"/>
  <c r="H213" i="9"/>
  <c r="G213" i="9"/>
  <c r="F213" i="9"/>
  <c r="E213" i="9"/>
  <c r="D213" i="9"/>
  <c r="C213" i="9"/>
  <c r="AZ212" i="9"/>
  <c r="AY212" i="9"/>
  <c r="AX212" i="9"/>
  <c r="AW212" i="9"/>
  <c r="AV212" i="9"/>
  <c r="AU212" i="9"/>
  <c r="AT212" i="9"/>
  <c r="AS212" i="9"/>
  <c r="AR212" i="9"/>
  <c r="AQ212" i="9"/>
  <c r="AP212" i="9"/>
  <c r="AO212" i="9"/>
  <c r="AN212" i="9"/>
  <c r="AM212" i="9"/>
  <c r="AL212" i="9"/>
  <c r="AK212" i="9"/>
  <c r="AJ212" i="9"/>
  <c r="AI212" i="9"/>
  <c r="AH212" i="9"/>
  <c r="AG212" i="9"/>
  <c r="AF212" i="9"/>
  <c r="AE212" i="9"/>
  <c r="AD212" i="9"/>
  <c r="AC212" i="9"/>
  <c r="AB212" i="9"/>
  <c r="AA212" i="9"/>
  <c r="Z212" i="9"/>
  <c r="Y212" i="9"/>
  <c r="X212" i="9"/>
  <c r="W212" i="9"/>
  <c r="V212" i="9"/>
  <c r="U212" i="9"/>
  <c r="T212" i="9"/>
  <c r="S212" i="9"/>
  <c r="R212" i="9"/>
  <c r="Q212" i="9"/>
  <c r="P212" i="9"/>
  <c r="O212" i="9"/>
  <c r="N212" i="9"/>
  <c r="M212" i="9"/>
  <c r="L212" i="9"/>
  <c r="K212" i="9"/>
  <c r="J212" i="9"/>
  <c r="I212" i="9"/>
  <c r="H212" i="9"/>
  <c r="G212" i="9"/>
  <c r="F212" i="9"/>
  <c r="E212" i="9"/>
  <c r="D212" i="9"/>
  <c r="C212" i="9"/>
  <c r="AZ211" i="9"/>
  <c r="AY211" i="9"/>
  <c r="AX211" i="9"/>
  <c r="AW211" i="9"/>
  <c r="AV211" i="9"/>
  <c r="AU211" i="9"/>
  <c r="AT211" i="9"/>
  <c r="AS211" i="9"/>
  <c r="AR211" i="9"/>
  <c r="AQ211" i="9"/>
  <c r="AP211" i="9"/>
  <c r="AO211" i="9"/>
  <c r="AN211" i="9"/>
  <c r="AM211" i="9"/>
  <c r="AL211" i="9"/>
  <c r="AK211" i="9"/>
  <c r="AJ211" i="9"/>
  <c r="AI211" i="9"/>
  <c r="AH211" i="9"/>
  <c r="AG211" i="9"/>
  <c r="AF211" i="9"/>
  <c r="AE211" i="9"/>
  <c r="AD211" i="9"/>
  <c r="AC211" i="9"/>
  <c r="AB211" i="9"/>
  <c r="AA211" i="9"/>
  <c r="Z211" i="9"/>
  <c r="Y211" i="9"/>
  <c r="X211" i="9"/>
  <c r="W211" i="9"/>
  <c r="V211" i="9"/>
  <c r="U211" i="9"/>
  <c r="T211" i="9"/>
  <c r="S211" i="9"/>
  <c r="R211" i="9"/>
  <c r="Q211" i="9"/>
  <c r="P211" i="9"/>
  <c r="O211" i="9"/>
  <c r="N211" i="9"/>
  <c r="M211" i="9"/>
  <c r="L211" i="9"/>
  <c r="K211" i="9"/>
  <c r="J211" i="9"/>
  <c r="I211" i="9"/>
  <c r="H211" i="9"/>
  <c r="G211" i="9"/>
  <c r="F211" i="9"/>
  <c r="E211" i="9"/>
  <c r="D211" i="9"/>
  <c r="C211" i="9"/>
  <c r="AZ210" i="9"/>
  <c r="AY210" i="9"/>
  <c r="AX210" i="9"/>
  <c r="AW210" i="9"/>
  <c r="AV210" i="9"/>
  <c r="AU210" i="9"/>
  <c r="AT210" i="9"/>
  <c r="AS210" i="9"/>
  <c r="AR210" i="9"/>
  <c r="AQ210" i="9"/>
  <c r="AP210" i="9"/>
  <c r="AO210" i="9"/>
  <c r="AN210" i="9"/>
  <c r="AM210" i="9"/>
  <c r="AL210" i="9"/>
  <c r="AK210" i="9"/>
  <c r="AJ210" i="9"/>
  <c r="AI210" i="9"/>
  <c r="AH210" i="9"/>
  <c r="AG210" i="9"/>
  <c r="AF210" i="9"/>
  <c r="AE210" i="9"/>
  <c r="AD210" i="9"/>
  <c r="AC210" i="9"/>
  <c r="AB210" i="9"/>
  <c r="AA210" i="9"/>
  <c r="Z210" i="9"/>
  <c r="Y210" i="9"/>
  <c r="X210" i="9"/>
  <c r="W210" i="9"/>
  <c r="V210" i="9"/>
  <c r="U210" i="9"/>
  <c r="T210" i="9"/>
  <c r="S210" i="9"/>
  <c r="R210" i="9"/>
  <c r="Q210" i="9"/>
  <c r="P210" i="9"/>
  <c r="O210" i="9"/>
  <c r="N210" i="9"/>
  <c r="M210" i="9"/>
  <c r="L210" i="9"/>
  <c r="K210" i="9"/>
  <c r="J210" i="9"/>
  <c r="I210" i="9"/>
  <c r="H210" i="9"/>
  <c r="G210" i="9"/>
  <c r="F210" i="9"/>
  <c r="E210" i="9"/>
  <c r="D210" i="9"/>
  <c r="C210" i="9"/>
  <c r="AZ209" i="9"/>
  <c r="AY209" i="9"/>
  <c r="AX209" i="9"/>
  <c r="AW209" i="9"/>
  <c r="AV209" i="9"/>
  <c r="AU209" i="9"/>
  <c r="AT209" i="9"/>
  <c r="AS209" i="9"/>
  <c r="AR209" i="9"/>
  <c r="AQ209" i="9"/>
  <c r="AP209" i="9"/>
  <c r="AO209" i="9"/>
  <c r="AN209" i="9"/>
  <c r="AM209" i="9"/>
  <c r="AL209" i="9"/>
  <c r="AK209" i="9"/>
  <c r="AJ209" i="9"/>
  <c r="AI209" i="9"/>
  <c r="AH209" i="9"/>
  <c r="AG209" i="9"/>
  <c r="AF209" i="9"/>
  <c r="AE209" i="9"/>
  <c r="AD209" i="9"/>
  <c r="AC209" i="9"/>
  <c r="AB209" i="9"/>
  <c r="AA209" i="9"/>
  <c r="Z209" i="9"/>
  <c r="Y209" i="9"/>
  <c r="X209" i="9"/>
  <c r="W209" i="9"/>
  <c r="V209" i="9"/>
  <c r="U209" i="9"/>
  <c r="T209" i="9"/>
  <c r="S209" i="9"/>
  <c r="R209" i="9"/>
  <c r="Q209" i="9"/>
  <c r="P209" i="9"/>
  <c r="O209" i="9"/>
  <c r="N209" i="9"/>
  <c r="M209" i="9"/>
  <c r="L209" i="9"/>
  <c r="K209" i="9"/>
  <c r="J209" i="9"/>
  <c r="I209" i="9"/>
  <c r="H209" i="9"/>
  <c r="G209" i="9"/>
  <c r="F209" i="9"/>
  <c r="E209" i="9"/>
  <c r="D209" i="9"/>
  <c r="C209" i="9"/>
  <c r="AZ208" i="9"/>
  <c r="AY208" i="9"/>
  <c r="AX208" i="9"/>
  <c r="AW208" i="9"/>
  <c r="AV208" i="9"/>
  <c r="AU208" i="9"/>
  <c r="AT208" i="9"/>
  <c r="AS208" i="9"/>
  <c r="AR208" i="9"/>
  <c r="AQ208" i="9"/>
  <c r="AP208" i="9"/>
  <c r="AO208" i="9"/>
  <c r="AN208" i="9"/>
  <c r="AM208" i="9"/>
  <c r="AL208" i="9"/>
  <c r="AK208" i="9"/>
  <c r="AJ208" i="9"/>
  <c r="AI208" i="9"/>
  <c r="AH208" i="9"/>
  <c r="AG208" i="9"/>
  <c r="AF208" i="9"/>
  <c r="AE208" i="9"/>
  <c r="AD208" i="9"/>
  <c r="AC208" i="9"/>
  <c r="AB208" i="9"/>
  <c r="AA208" i="9"/>
  <c r="Z208" i="9"/>
  <c r="Y208" i="9"/>
  <c r="X208" i="9"/>
  <c r="W208" i="9"/>
  <c r="V208" i="9"/>
  <c r="U208" i="9"/>
  <c r="T208" i="9"/>
  <c r="S208" i="9"/>
  <c r="R208" i="9"/>
  <c r="Q208" i="9"/>
  <c r="P208" i="9"/>
  <c r="O208" i="9"/>
  <c r="N208" i="9"/>
  <c r="M208" i="9"/>
  <c r="L208" i="9"/>
  <c r="K208" i="9"/>
  <c r="J208" i="9"/>
  <c r="I208" i="9"/>
  <c r="H208" i="9"/>
  <c r="G208" i="9"/>
  <c r="F208" i="9"/>
  <c r="E208" i="9"/>
  <c r="D208" i="9"/>
  <c r="C208" i="9"/>
  <c r="AZ207" i="9"/>
  <c r="AY207" i="9"/>
  <c r="AX207" i="9"/>
  <c r="AW207" i="9"/>
  <c r="AV207" i="9"/>
  <c r="AU207" i="9"/>
  <c r="AT207" i="9"/>
  <c r="AS207" i="9"/>
  <c r="AR207" i="9"/>
  <c r="AQ207" i="9"/>
  <c r="AP207" i="9"/>
  <c r="AO207" i="9"/>
  <c r="AN207" i="9"/>
  <c r="AM207" i="9"/>
  <c r="AL207" i="9"/>
  <c r="AK207" i="9"/>
  <c r="AJ207" i="9"/>
  <c r="AI207" i="9"/>
  <c r="AH207" i="9"/>
  <c r="AG207" i="9"/>
  <c r="AF207" i="9"/>
  <c r="AE207" i="9"/>
  <c r="AD207" i="9"/>
  <c r="AC207" i="9"/>
  <c r="AB207" i="9"/>
  <c r="AA207" i="9"/>
  <c r="Z207" i="9"/>
  <c r="Y207" i="9"/>
  <c r="X207" i="9"/>
  <c r="W207" i="9"/>
  <c r="V207" i="9"/>
  <c r="U207" i="9"/>
  <c r="T207" i="9"/>
  <c r="S207" i="9"/>
  <c r="R207" i="9"/>
  <c r="Q207" i="9"/>
  <c r="P207" i="9"/>
  <c r="O207" i="9"/>
  <c r="N207" i="9"/>
  <c r="M207" i="9"/>
  <c r="L207" i="9"/>
  <c r="K207" i="9"/>
  <c r="J207" i="9"/>
  <c r="I207" i="9"/>
  <c r="H207" i="9"/>
  <c r="G207" i="9"/>
  <c r="F207" i="9"/>
  <c r="E207" i="9"/>
  <c r="D207" i="9"/>
  <c r="C207" i="9"/>
  <c r="AZ206" i="9"/>
  <c r="AY206" i="9"/>
  <c r="AX206" i="9"/>
  <c r="AW206" i="9"/>
  <c r="AV206" i="9"/>
  <c r="AU206" i="9"/>
  <c r="AT206" i="9"/>
  <c r="AS206" i="9"/>
  <c r="AR206" i="9"/>
  <c r="AQ206" i="9"/>
  <c r="AP206" i="9"/>
  <c r="AO206" i="9"/>
  <c r="AN206" i="9"/>
  <c r="AM206" i="9"/>
  <c r="AL206" i="9"/>
  <c r="AK206" i="9"/>
  <c r="AJ206" i="9"/>
  <c r="AI206" i="9"/>
  <c r="AH206" i="9"/>
  <c r="AG206" i="9"/>
  <c r="AF206" i="9"/>
  <c r="AE206" i="9"/>
  <c r="AD206" i="9"/>
  <c r="AC206" i="9"/>
  <c r="AB206" i="9"/>
  <c r="AA206" i="9"/>
  <c r="Z206" i="9"/>
  <c r="Y206" i="9"/>
  <c r="X206" i="9"/>
  <c r="W206" i="9"/>
  <c r="V206" i="9"/>
  <c r="U206" i="9"/>
  <c r="T206" i="9"/>
  <c r="S206" i="9"/>
  <c r="R206" i="9"/>
  <c r="Q206" i="9"/>
  <c r="P206" i="9"/>
  <c r="O206" i="9"/>
  <c r="N206" i="9"/>
  <c r="M206" i="9"/>
  <c r="L206" i="9"/>
  <c r="K206" i="9"/>
  <c r="J206" i="9"/>
  <c r="I206" i="9"/>
  <c r="H206" i="9"/>
  <c r="G206" i="9"/>
  <c r="F206" i="9"/>
  <c r="E206" i="9"/>
  <c r="D206" i="9"/>
  <c r="C206" i="9"/>
  <c r="AZ205" i="9"/>
  <c r="AY205" i="9"/>
  <c r="AX205" i="9"/>
  <c r="AW205" i="9"/>
  <c r="AV205" i="9"/>
  <c r="AU205" i="9"/>
  <c r="AT205" i="9"/>
  <c r="AS205" i="9"/>
  <c r="AR205" i="9"/>
  <c r="AQ205" i="9"/>
  <c r="AP205" i="9"/>
  <c r="AO205" i="9"/>
  <c r="AN205" i="9"/>
  <c r="AM205" i="9"/>
  <c r="AL205" i="9"/>
  <c r="AK205" i="9"/>
  <c r="AJ205" i="9"/>
  <c r="AI205" i="9"/>
  <c r="AH205" i="9"/>
  <c r="AG205" i="9"/>
  <c r="AF205" i="9"/>
  <c r="AE205" i="9"/>
  <c r="AD205" i="9"/>
  <c r="AC205" i="9"/>
  <c r="AB205" i="9"/>
  <c r="AA205" i="9"/>
  <c r="Z205" i="9"/>
  <c r="Y205" i="9"/>
  <c r="X205" i="9"/>
  <c r="W205" i="9"/>
  <c r="V205" i="9"/>
  <c r="U205" i="9"/>
  <c r="T205" i="9"/>
  <c r="S205" i="9"/>
  <c r="R205" i="9"/>
  <c r="Q205" i="9"/>
  <c r="P205" i="9"/>
  <c r="O205" i="9"/>
  <c r="N205" i="9"/>
  <c r="M205" i="9"/>
  <c r="L205" i="9"/>
  <c r="K205" i="9"/>
  <c r="J205" i="9"/>
  <c r="I205" i="9"/>
  <c r="H205" i="9"/>
  <c r="G205" i="9"/>
  <c r="F205" i="9"/>
  <c r="E205" i="9"/>
  <c r="D205" i="9"/>
  <c r="C205" i="9"/>
  <c r="AZ204" i="9"/>
  <c r="AY204" i="9"/>
  <c r="AX204" i="9"/>
  <c r="AW204" i="9"/>
  <c r="AV204" i="9"/>
  <c r="AU204" i="9"/>
  <c r="AT204" i="9"/>
  <c r="AS204" i="9"/>
  <c r="AR204" i="9"/>
  <c r="AQ204" i="9"/>
  <c r="AP204" i="9"/>
  <c r="AO204" i="9"/>
  <c r="AN204" i="9"/>
  <c r="AM204" i="9"/>
  <c r="AL204" i="9"/>
  <c r="AK204" i="9"/>
  <c r="AJ204" i="9"/>
  <c r="AI204" i="9"/>
  <c r="AH204" i="9"/>
  <c r="AG204" i="9"/>
  <c r="AF204" i="9"/>
  <c r="AE204" i="9"/>
  <c r="AD204" i="9"/>
  <c r="AC204" i="9"/>
  <c r="AB204" i="9"/>
  <c r="AA204" i="9"/>
  <c r="Z204" i="9"/>
  <c r="Y204" i="9"/>
  <c r="X204" i="9"/>
  <c r="W204" i="9"/>
  <c r="V204" i="9"/>
  <c r="U204" i="9"/>
  <c r="T204" i="9"/>
  <c r="S204" i="9"/>
  <c r="R204" i="9"/>
  <c r="Q204" i="9"/>
  <c r="P204" i="9"/>
  <c r="O204" i="9"/>
  <c r="N204" i="9"/>
  <c r="M204" i="9"/>
  <c r="L204" i="9"/>
  <c r="K204" i="9"/>
  <c r="J204" i="9"/>
  <c r="I204" i="9"/>
  <c r="H204" i="9"/>
  <c r="G204" i="9"/>
  <c r="F204" i="9"/>
  <c r="E204" i="9"/>
  <c r="D204" i="9"/>
  <c r="C204" i="9"/>
  <c r="AZ203" i="9"/>
  <c r="AY203" i="9"/>
  <c r="AX203" i="9"/>
  <c r="AW203" i="9"/>
  <c r="AV203" i="9"/>
  <c r="AU203" i="9"/>
  <c r="AT203" i="9"/>
  <c r="AS203" i="9"/>
  <c r="AR203" i="9"/>
  <c r="AQ203" i="9"/>
  <c r="AP203" i="9"/>
  <c r="AO203" i="9"/>
  <c r="AN203" i="9"/>
  <c r="AM203" i="9"/>
  <c r="AL203" i="9"/>
  <c r="AK203" i="9"/>
  <c r="AJ203" i="9"/>
  <c r="AI203" i="9"/>
  <c r="AH203" i="9"/>
  <c r="AG203" i="9"/>
  <c r="AF203" i="9"/>
  <c r="AE203" i="9"/>
  <c r="AD203" i="9"/>
  <c r="AC203" i="9"/>
  <c r="AB203" i="9"/>
  <c r="AA203" i="9"/>
  <c r="Z203" i="9"/>
  <c r="Y203" i="9"/>
  <c r="X203" i="9"/>
  <c r="W203" i="9"/>
  <c r="V203" i="9"/>
  <c r="U203" i="9"/>
  <c r="T203" i="9"/>
  <c r="S203" i="9"/>
  <c r="R203" i="9"/>
  <c r="Q203" i="9"/>
  <c r="P203" i="9"/>
  <c r="O203" i="9"/>
  <c r="N203" i="9"/>
  <c r="M203" i="9"/>
  <c r="L203" i="9"/>
  <c r="K203" i="9"/>
  <c r="J203" i="9"/>
  <c r="I203" i="9"/>
  <c r="H203" i="9"/>
  <c r="G203" i="9"/>
  <c r="F203" i="9"/>
  <c r="E203" i="9"/>
  <c r="D203" i="9"/>
  <c r="C203" i="9"/>
  <c r="AZ202" i="9"/>
  <c r="AY202" i="9"/>
  <c r="AX202" i="9"/>
  <c r="AW202" i="9"/>
  <c r="AV202" i="9"/>
  <c r="AU202" i="9"/>
  <c r="AT202" i="9"/>
  <c r="AS202" i="9"/>
  <c r="AR202" i="9"/>
  <c r="AQ202" i="9"/>
  <c r="AP202" i="9"/>
  <c r="AO202" i="9"/>
  <c r="AN202" i="9"/>
  <c r="AM202" i="9"/>
  <c r="AL202" i="9"/>
  <c r="AK202" i="9"/>
  <c r="AJ202" i="9"/>
  <c r="AI202" i="9"/>
  <c r="AH202" i="9"/>
  <c r="AG202" i="9"/>
  <c r="AF202" i="9"/>
  <c r="AE202" i="9"/>
  <c r="AD202" i="9"/>
  <c r="AC202" i="9"/>
  <c r="AB202" i="9"/>
  <c r="AA202" i="9"/>
  <c r="Z202" i="9"/>
  <c r="Y202" i="9"/>
  <c r="X202" i="9"/>
  <c r="W202" i="9"/>
  <c r="V202" i="9"/>
  <c r="U202" i="9"/>
  <c r="T202" i="9"/>
  <c r="S202" i="9"/>
  <c r="R202" i="9"/>
  <c r="Q202" i="9"/>
  <c r="P202" i="9"/>
  <c r="O202" i="9"/>
  <c r="N202" i="9"/>
  <c r="M202" i="9"/>
  <c r="L202" i="9"/>
  <c r="K202" i="9"/>
  <c r="J202" i="9"/>
  <c r="I202" i="9"/>
  <c r="H202" i="9"/>
  <c r="G202" i="9"/>
  <c r="F202" i="9"/>
  <c r="E202" i="9"/>
  <c r="D202" i="9"/>
  <c r="C202" i="9"/>
  <c r="AZ201" i="9"/>
  <c r="AY201" i="9"/>
  <c r="AX201" i="9"/>
  <c r="AW201" i="9"/>
  <c r="AV201" i="9"/>
  <c r="AU201" i="9"/>
  <c r="AT201" i="9"/>
  <c r="AS201" i="9"/>
  <c r="AR201" i="9"/>
  <c r="AQ201" i="9"/>
  <c r="AP201" i="9"/>
  <c r="AO201" i="9"/>
  <c r="AN201" i="9"/>
  <c r="AM201" i="9"/>
  <c r="AL201" i="9"/>
  <c r="AK201" i="9"/>
  <c r="AJ201" i="9"/>
  <c r="AI201" i="9"/>
  <c r="AH201" i="9"/>
  <c r="AG201" i="9"/>
  <c r="AF201" i="9"/>
  <c r="AE201" i="9"/>
  <c r="AD201" i="9"/>
  <c r="AC201" i="9"/>
  <c r="AB201" i="9"/>
  <c r="AA201" i="9"/>
  <c r="Z201" i="9"/>
  <c r="Y201" i="9"/>
  <c r="X201" i="9"/>
  <c r="W201" i="9"/>
  <c r="V201" i="9"/>
  <c r="U201" i="9"/>
  <c r="T201" i="9"/>
  <c r="S201" i="9"/>
  <c r="R201" i="9"/>
  <c r="Q201" i="9"/>
  <c r="P201" i="9"/>
  <c r="O201" i="9"/>
  <c r="N201" i="9"/>
  <c r="M201" i="9"/>
  <c r="L201" i="9"/>
  <c r="K201" i="9"/>
  <c r="J201" i="9"/>
  <c r="I201" i="9"/>
  <c r="H201" i="9"/>
  <c r="G201" i="9"/>
  <c r="F201" i="9"/>
  <c r="E201" i="9"/>
  <c r="D201" i="9"/>
  <c r="C201" i="9"/>
  <c r="AZ200" i="9"/>
  <c r="AY200" i="9"/>
  <c r="AX200" i="9"/>
  <c r="AW200" i="9"/>
  <c r="AV200" i="9"/>
  <c r="AU200" i="9"/>
  <c r="AT200" i="9"/>
  <c r="AS200" i="9"/>
  <c r="AR200" i="9"/>
  <c r="AQ200" i="9"/>
  <c r="AP200" i="9"/>
  <c r="AO200" i="9"/>
  <c r="AN200" i="9"/>
  <c r="AM200" i="9"/>
  <c r="AL200" i="9"/>
  <c r="AK200" i="9"/>
  <c r="AJ200" i="9"/>
  <c r="AI200" i="9"/>
  <c r="AH200" i="9"/>
  <c r="AG200" i="9"/>
  <c r="AF200" i="9"/>
  <c r="AE200" i="9"/>
  <c r="AD200" i="9"/>
  <c r="AC200" i="9"/>
  <c r="AB200" i="9"/>
  <c r="AA200" i="9"/>
  <c r="Z200" i="9"/>
  <c r="Y200" i="9"/>
  <c r="X200" i="9"/>
  <c r="W200" i="9"/>
  <c r="V200" i="9"/>
  <c r="U200" i="9"/>
  <c r="T200" i="9"/>
  <c r="S200" i="9"/>
  <c r="R200" i="9"/>
  <c r="Q200" i="9"/>
  <c r="P200" i="9"/>
  <c r="O200" i="9"/>
  <c r="N200" i="9"/>
  <c r="M200" i="9"/>
  <c r="L200" i="9"/>
  <c r="K200" i="9"/>
  <c r="J200" i="9"/>
  <c r="I200" i="9"/>
  <c r="H200" i="9"/>
  <c r="G200" i="9"/>
  <c r="F200" i="9"/>
  <c r="E200" i="9"/>
  <c r="D200" i="9"/>
  <c r="C200" i="9"/>
  <c r="AZ199" i="9"/>
  <c r="AY199" i="9"/>
  <c r="AX199" i="9"/>
  <c r="AW199" i="9"/>
  <c r="AV199" i="9"/>
  <c r="AU199" i="9"/>
  <c r="AT199" i="9"/>
  <c r="AS199" i="9"/>
  <c r="AR199" i="9"/>
  <c r="AQ199" i="9"/>
  <c r="AP199" i="9"/>
  <c r="AO199" i="9"/>
  <c r="AN199" i="9"/>
  <c r="AM199" i="9"/>
  <c r="AL199" i="9"/>
  <c r="AK199" i="9"/>
  <c r="AJ199" i="9"/>
  <c r="AI199" i="9"/>
  <c r="AH199" i="9"/>
  <c r="AG199" i="9"/>
  <c r="AF199" i="9"/>
  <c r="AE199" i="9"/>
  <c r="AD199" i="9"/>
  <c r="AC199" i="9"/>
  <c r="AB199" i="9"/>
  <c r="AA199" i="9"/>
  <c r="Z199" i="9"/>
  <c r="Y199" i="9"/>
  <c r="X199" i="9"/>
  <c r="W199" i="9"/>
  <c r="V199" i="9"/>
  <c r="U199" i="9"/>
  <c r="T199" i="9"/>
  <c r="S199" i="9"/>
  <c r="R199" i="9"/>
  <c r="Q199" i="9"/>
  <c r="P199" i="9"/>
  <c r="O199" i="9"/>
  <c r="N199" i="9"/>
  <c r="M199" i="9"/>
  <c r="L199" i="9"/>
  <c r="K199" i="9"/>
  <c r="J199" i="9"/>
  <c r="I199" i="9"/>
  <c r="H199" i="9"/>
  <c r="G199" i="9"/>
  <c r="F199" i="9"/>
  <c r="E199" i="9"/>
  <c r="D199" i="9"/>
  <c r="C199" i="9"/>
  <c r="AZ198" i="9"/>
  <c r="AY198" i="9"/>
  <c r="AX198" i="9"/>
  <c r="AW198" i="9"/>
  <c r="AV198" i="9"/>
  <c r="AU198" i="9"/>
  <c r="AT198" i="9"/>
  <c r="AS198" i="9"/>
  <c r="AR198" i="9"/>
  <c r="AQ198" i="9"/>
  <c r="AP198" i="9"/>
  <c r="AO198" i="9"/>
  <c r="AN198" i="9"/>
  <c r="AM198" i="9"/>
  <c r="AL198" i="9"/>
  <c r="AK198" i="9"/>
  <c r="AJ198" i="9"/>
  <c r="AI198" i="9"/>
  <c r="AH198" i="9"/>
  <c r="AG198" i="9"/>
  <c r="AF198" i="9"/>
  <c r="AE198" i="9"/>
  <c r="AD198" i="9"/>
  <c r="AC198" i="9"/>
  <c r="AB198" i="9"/>
  <c r="AA198" i="9"/>
  <c r="Z198" i="9"/>
  <c r="Y198" i="9"/>
  <c r="X198" i="9"/>
  <c r="W198" i="9"/>
  <c r="V198" i="9"/>
  <c r="U198" i="9"/>
  <c r="T198" i="9"/>
  <c r="S198" i="9"/>
  <c r="R198" i="9"/>
  <c r="Q198" i="9"/>
  <c r="P198" i="9"/>
  <c r="O198" i="9"/>
  <c r="N198" i="9"/>
  <c r="M198" i="9"/>
  <c r="L198" i="9"/>
  <c r="K198" i="9"/>
  <c r="J198" i="9"/>
  <c r="I198" i="9"/>
  <c r="H198" i="9"/>
  <c r="G198" i="9"/>
  <c r="F198" i="9"/>
  <c r="E198" i="9"/>
  <c r="D198" i="9"/>
  <c r="C198" i="9"/>
  <c r="AZ197" i="9"/>
  <c r="AY197" i="9"/>
  <c r="AX197" i="9"/>
  <c r="AW197" i="9"/>
  <c r="AV197" i="9"/>
  <c r="AU197" i="9"/>
  <c r="AT197" i="9"/>
  <c r="AS197" i="9"/>
  <c r="AR197" i="9"/>
  <c r="AQ197" i="9"/>
  <c r="AP197" i="9"/>
  <c r="AO197" i="9"/>
  <c r="AN197" i="9"/>
  <c r="AM197" i="9"/>
  <c r="AL197" i="9"/>
  <c r="AK197" i="9"/>
  <c r="AJ197" i="9"/>
  <c r="AI197" i="9"/>
  <c r="AH197" i="9"/>
  <c r="AG197" i="9"/>
  <c r="AF197" i="9"/>
  <c r="AE197" i="9"/>
  <c r="AD197" i="9"/>
  <c r="AC197" i="9"/>
  <c r="AB197" i="9"/>
  <c r="AA197" i="9"/>
  <c r="Z197" i="9"/>
  <c r="Y197" i="9"/>
  <c r="X197" i="9"/>
  <c r="W197" i="9"/>
  <c r="V197" i="9"/>
  <c r="U197" i="9"/>
  <c r="T197" i="9"/>
  <c r="S197" i="9"/>
  <c r="R197" i="9"/>
  <c r="Q197" i="9"/>
  <c r="P197" i="9"/>
  <c r="O197" i="9"/>
  <c r="N197" i="9"/>
  <c r="M197" i="9"/>
  <c r="L197" i="9"/>
  <c r="K197" i="9"/>
  <c r="J197" i="9"/>
  <c r="I197" i="9"/>
  <c r="H197" i="9"/>
  <c r="G197" i="9"/>
  <c r="F197" i="9"/>
  <c r="E197" i="9"/>
  <c r="D197" i="9"/>
  <c r="C197" i="9"/>
  <c r="AZ196" i="9"/>
  <c r="AY196" i="9"/>
  <c r="AX196" i="9"/>
  <c r="AW196" i="9"/>
  <c r="AV196" i="9"/>
  <c r="AU196" i="9"/>
  <c r="AT196" i="9"/>
  <c r="AS196" i="9"/>
  <c r="AR196" i="9"/>
  <c r="AQ196" i="9"/>
  <c r="AP196" i="9"/>
  <c r="AO196" i="9"/>
  <c r="AN196" i="9"/>
  <c r="AM196" i="9"/>
  <c r="AL196" i="9"/>
  <c r="AK196" i="9"/>
  <c r="AJ196" i="9"/>
  <c r="AI196" i="9"/>
  <c r="AH196" i="9"/>
  <c r="AG196" i="9"/>
  <c r="AF196" i="9"/>
  <c r="AE196" i="9"/>
  <c r="AD196" i="9"/>
  <c r="AC196" i="9"/>
  <c r="AB196" i="9"/>
  <c r="AA196" i="9"/>
  <c r="Z196" i="9"/>
  <c r="Y196" i="9"/>
  <c r="X196" i="9"/>
  <c r="W196" i="9"/>
  <c r="V196" i="9"/>
  <c r="U196" i="9"/>
  <c r="T196" i="9"/>
  <c r="S196" i="9"/>
  <c r="R196" i="9"/>
  <c r="Q196" i="9"/>
  <c r="P196" i="9"/>
  <c r="O196" i="9"/>
  <c r="N196" i="9"/>
  <c r="M196" i="9"/>
  <c r="L196" i="9"/>
  <c r="K196" i="9"/>
  <c r="J196" i="9"/>
  <c r="I196" i="9"/>
  <c r="H196" i="9"/>
  <c r="G196" i="9"/>
  <c r="F196" i="9"/>
  <c r="E196" i="9"/>
  <c r="D196" i="9"/>
  <c r="C196" i="9"/>
  <c r="AZ195" i="9"/>
  <c r="AY195" i="9"/>
  <c r="AX195" i="9"/>
  <c r="AW195" i="9"/>
  <c r="AV195" i="9"/>
  <c r="AU195" i="9"/>
  <c r="AT195" i="9"/>
  <c r="AS195" i="9"/>
  <c r="AR195" i="9"/>
  <c r="AQ195" i="9"/>
  <c r="AP195" i="9"/>
  <c r="AO195" i="9"/>
  <c r="AN195" i="9"/>
  <c r="AM195" i="9"/>
  <c r="AL195" i="9"/>
  <c r="AK195" i="9"/>
  <c r="AJ195" i="9"/>
  <c r="AI195" i="9"/>
  <c r="AH195" i="9"/>
  <c r="AG195" i="9"/>
  <c r="AF195" i="9"/>
  <c r="AE195" i="9"/>
  <c r="AD195" i="9"/>
  <c r="AC195" i="9"/>
  <c r="AB195" i="9"/>
  <c r="AA195" i="9"/>
  <c r="Z195" i="9"/>
  <c r="Y195" i="9"/>
  <c r="X195" i="9"/>
  <c r="W195" i="9"/>
  <c r="V195" i="9"/>
  <c r="U195" i="9"/>
  <c r="T195" i="9"/>
  <c r="S195" i="9"/>
  <c r="R195" i="9"/>
  <c r="Q195" i="9"/>
  <c r="P195" i="9"/>
  <c r="O195" i="9"/>
  <c r="N195" i="9"/>
  <c r="M195" i="9"/>
  <c r="L195" i="9"/>
  <c r="K195" i="9"/>
  <c r="J195" i="9"/>
  <c r="I195" i="9"/>
  <c r="H195" i="9"/>
  <c r="G195" i="9"/>
  <c r="F195" i="9"/>
  <c r="E195" i="9"/>
  <c r="D195" i="9"/>
  <c r="C195" i="9"/>
  <c r="AZ194" i="9"/>
  <c r="AY194" i="9"/>
  <c r="AX194" i="9"/>
  <c r="AW194" i="9"/>
  <c r="AV194" i="9"/>
  <c r="AU194" i="9"/>
  <c r="AT194" i="9"/>
  <c r="AS194" i="9"/>
  <c r="AR194" i="9"/>
  <c r="AQ194" i="9"/>
  <c r="AP194" i="9"/>
  <c r="AO194" i="9"/>
  <c r="AN194" i="9"/>
  <c r="AM194" i="9"/>
  <c r="AL194" i="9"/>
  <c r="AK194" i="9"/>
  <c r="AJ194" i="9"/>
  <c r="AI194" i="9"/>
  <c r="AH194" i="9"/>
  <c r="AG194" i="9"/>
  <c r="AF194" i="9"/>
  <c r="AE194" i="9"/>
  <c r="AD194" i="9"/>
  <c r="AC194" i="9"/>
  <c r="AB194" i="9"/>
  <c r="AA194" i="9"/>
  <c r="Z194" i="9"/>
  <c r="Y194" i="9"/>
  <c r="X194" i="9"/>
  <c r="W194" i="9"/>
  <c r="V194" i="9"/>
  <c r="U194" i="9"/>
  <c r="T194" i="9"/>
  <c r="S194" i="9"/>
  <c r="R194" i="9"/>
  <c r="Q194" i="9"/>
  <c r="P194" i="9"/>
  <c r="O194" i="9"/>
  <c r="N194" i="9"/>
  <c r="M194" i="9"/>
  <c r="L194" i="9"/>
  <c r="K194" i="9"/>
  <c r="J194" i="9"/>
  <c r="I194" i="9"/>
  <c r="H194" i="9"/>
  <c r="G194" i="9"/>
  <c r="F194" i="9"/>
  <c r="E194" i="9"/>
  <c r="D194" i="9"/>
  <c r="C194" i="9"/>
  <c r="AZ193" i="9"/>
  <c r="AY193" i="9"/>
  <c r="AX193" i="9"/>
  <c r="AW193" i="9"/>
  <c r="AV193" i="9"/>
  <c r="AU193" i="9"/>
  <c r="AT193" i="9"/>
  <c r="AS193" i="9"/>
  <c r="AR193" i="9"/>
  <c r="AQ193" i="9"/>
  <c r="AP193" i="9"/>
  <c r="AO193" i="9"/>
  <c r="AN193" i="9"/>
  <c r="AM193" i="9"/>
  <c r="AL193" i="9"/>
  <c r="AK193" i="9"/>
  <c r="AJ193" i="9"/>
  <c r="AI193" i="9"/>
  <c r="AH193" i="9"/>
  <c r="AG193" i="9"/>
  <c r="AF193" i="9"/>
  <c r="AE193" i="9"/>
  <c r="AD193" i="9"/>
  <c r="AC193" i="9"/>
  <c r="AB193" i="9"/>
  <c r="AA193" i="9"/>
  <c r="Z193" i="9"/>
  <c r="Y193" i="9"/>
  <c r="X193" i="9"/>
  <c r="W193" i="9"/>
  <c r="V193" i="9"/>
  <c r="U193" i="9"/>
  <c r="T193" i="9"/>
  <c r="S193" i="9"/>
  <c r="R193" i="9"/>
  <c r="Q193" i="9"/>
  <c r="P193" i="9"/>
  <c r="O193" i="9"/>
  <c r="N193" i="9"/>
  <c r="M193" i="9"/>
  <c r="L193" i="9"/>
  <c r="K193" i="9"/>
  <c r="J193" i="9"/>
  <c r="I193" i="9"/>
  <c r="H193" i="9"/>
  <c r="G193" i="9"/>
  <c r="F193" i="9"/>
  <c r="E193" i="9"/>
  <c r="D193" i="9"/>
  <c r="C193" i="9"/>
  <c r="AZ192" i="9"/>
  <c r="AY192" i="9"/>
  <c r="AX192" i="9"/>
  <c r="AW192" i="9"/>
  <c r="AV192" i="9"/>
  <c r="AU192" i="9"/>
  <c r="AT192" i="9"/>
  <c r="AS192" i="9"/>
  <c r="AR192" i="9"/>
  <c r="AQ192" i="9"/>
  <c r="AP192" i="9"/>
  <c r="AO192" i="9"/>
  <c r="AN192" i="9"/>
  <c r="AM192" i="9"/>
  <c r="AL192" i="9"/>
  <c r="AK192" i="9"/>
  <c r="AJ192" i="9"/>
  <c r="AI192" i="9"/>
  <c r="AH192" i="9"/>
  <c r="AG192" i="9"/>
  <c r="AF192" i="9"/>
  <c r="AE192" i="9"/>
  <c r="AD192" i="9"/>
  <c r="AC192" i="9"/>
  <c r="AB192" i="9"/>
  <c r="AA192" i="9"/>
  <c r="Z192" i="9"/>
  <c r="Y192" i="9"/>
  <c r="X192" i="9"/>
  <c r="W192" i="9"/>
  <c r="V192" i="9"/>
  <c r="U192" i="9"/>
  <c r="T192" i="9"/>
  <c r="S192" i="9"/>
  <c r="R192" i="9"/>
  <c r="Q192" i="9"/>
  <c r="P192" i="9"/>
  <c r="O192" i="9"/>
  <c r="N192" i="9"/>
  <c r="M192" i="9"/>
  <c r="L192" i="9"/>
  <c r="K192" i="9"/>
  <c r="J192" i="9"/>
  <c r="I192" i="9"/>
  <c r="H192" i="9"/>
  <c r="G192" i="9"/>
  <c r="F192" i="9"/>
  <c r="E192" i="9"/>
  <c r="D192" i="9"/>
  <c r="C192" i="9"/>
  <c r="AZ191" i="9"/>
  <c r="AY191" i="9"/>
  <c r="AX191" i="9"/>
  <c r="AW191" i="9"/>
  <c r="AV191" i="9"/>
  <c r="AU191" i="9"/>
  <c r="AT191" i="9"/>
  <c r="AS191" i="9"/>
  <c r="AR191" i="9"/>
  <c r="AQ191" i="9"/>
  <c r="AP191" i="9"/>
  <c r="AO191" i="9"/>
  <c r="AN191" i="9"/>
  <c r="AM191" i="9"/>
  <c r="AL191" i="9"/>
  <c r="AK191" i="9"/>
  <c r="AJ191" i="9"/>
  <c r="AI191" i="9"/>
  <c r="AH191" i="9"/>
  <c r="AG191" i="9"/>
  <c r="AF191" i="9"/>
  <c r="AE191" i="9"/>
  <c r="AD191" i="9"/>
  <c r="AC191" i="9"/>
  <c r="AB191" i="9"/>
  <c r="AA191" i="9"/>
  <c r="Z191" i="9"/>
  <c r="Y191" i="9"/>
  <c r="X191" i="9"/>
  <c r="W191" i="9"/>
  <c r="V191" i="9"/>
  <c r="U191" i="9"/>
  <c r="T191" i="9"/>
  <c r="S191" i="9"/>
  <c r="R191" i="9"/>
  <c r="Q191" i="9"/>
  <c r="P191" i="9"/>
  <c r="O191" i="9"/>
  <c r="N191" i="9"/>
  <c r="M191" i="9"/>
  <c r="L191" i="9"/>
  <c r="K191" i="9"/>
  <c r="J191" i="9"/>
  <c r="I191" i="9"/>
  <c r="H191" i="9"/>
  <c r="G191" i="9"/>
  <c r="F191" i="9"/>
  <c r="E191" i="9"/>
  <c r="D191" i="9"/>
  <c r="C191" i="9"/>
  <c r="AZ190" i="9"/>
  <c r="AY190" i="9"/>
  <c r="AX190" i="9"/>
  <c r="AW190" i="9"/>
  <c r="AV190" i="9"/>
  <c r="AU190" i="9"/>
  <c r="AT190" i="9"/>
  <c r="AS190" i="9"/>
  <c r="AR190" i="9"/>
  <c r="AQ190" i="9"/>
  <c r="AP190" i="9"/>
  <c r="AO190" i="9"/>
  <c r="AN190" i="9"/>
  <c r="AM190" i="9"/>
  <c r="AL190" i="9"/>
  <c r="AK190" i="9"/>
  <c r="AJ190" i="9"/>
  <c r="AI190" i="9"/>
  <c r="AH190" i="9"/>
  <c r="AG190" i="9"/>
  <c r="AF190" i="9"/>
  <c r="AE190" i="9"/>
  <c r="AD190" i="9"/>
  <c r="AC190" i="9"/>
  <c r="AB190" i="9"/>
  <c r="AA190" i="9"/>
  <c r="Z190" i="9"/>
  <c r="Y190" i="9"/>
  <c r="X190" i="9"/>
  <c r="W190" i="9"/>
  <c r="V190" i="9"/>
  <c r="U190" i="9"/>
  <c r="T190" i="9"/>
  <c r="S190" i="9"/>
  <c r="R190" i="9"/>
  <c r="Q190" i="9"/>
  <c r="P190" i="9"/>
  <c r="O190" i="9"/>
  <c r="N190" i="9"/>
  <c r="M190" i="9"/>
  <c r="L190" i="9"/>
  <c r="K190" i="9"/>
  <c r="J190" i="9"/>
  <c r="I190" i="9"/>
  <c r="H190" i="9"/>
  <c r="G190" i="9"/>
  <c r="F190" i="9"/>
  <c r="E190" i="9"/>
  <c r="D190" i="9"/>
  <c r="C190" i="9"/>
  <c r="AZ189" i="9"/>
  <c r="AY189" i="9"/>
  <c r="AX189" i="9"/>
  <c r="AW189" i="9"/>
  <c r="AV189" i="9"/>
  <c r="AU189" i="9"/>
  <c r="AT189" i="9"/>
  <c r="AS189" i="9"/>
  <c r="AR189" i="9"/>
  <c r="AQ189" i="9"/>
  <c r="AP189" i="9"/>
  <c r="AO189" i="9"/>
  <c r="AN189" i="9"/>
  <c r="AM189" i="9"/>
  <c r="AL189" i="9"/>
  <c r="AK189" i="9"/>
  <c r="AJ189" i="9"/>
  <c r="AI189" i="9"/>
  <c r="AH189" i="9"/>
  <c r="AG189" i="9"/>
  <c r="AF189" i="9"/>
  <c r="AE189" i="9"/>
  <c r="AD189" i="9"/>
  <c r="AC189" i="9"/>
  <c r="AB189" i="9"/>
  <c r="AA189" i="9"/>
  <c r="Z189" i="9"/>
  <c r="Y189" i="9"/>
  <c r="X189" i="9"/>
  <c r="W189" i="9"/>
  <c r="V189" i="9"/>
  <c r="U189" i="9"/>
  <c r="T189" i="9"/>
  <c r="S189" i="9"/>
  <c r="R189" i="9"/>
  <c r="Q189" i="9"/>
  <c r="P189" i="9"/>
  <c r="O189" i="9"/>
  <c r="N189" i="9"/>
  <c r="M189" i="9"/>
  <c r="L189" i="9"/>
  <c r="K189" i="9"/>
  <c r="J189" i="9"/>
  <c r="I189" i="9"/>
  <c r="H189" i="9"/>
  <c r="G189" i="9"/>
  <c r="F189" i="9"/>
  <c r="E189" i="9"/>
  <c r="D189" i="9"/>
  <c r="C189" i="9"/>
  <c r="AZ188" i="9"/>
  <c r="AY188" i="9"/>
  <c r="AX188" i="9"/>
  <c r="AW188" i="9"/>
  <c r="AV188" i="9"/>
  <c r="AU188" i="9"/>
  <c r="AT188" i="9"/>
  <c r="AS188" i="9"/>
  <c r="AR188" i="9"/>
  <c r="AQ188" i="9"/>
  <c r="AP188" i="9"/>
  <c r="AO188" i="9"/>
  <c r="AN188" i="9"/>
  <c r="AM188" i="9"/>
  <c r="AL188" i="9"/>
  <c r="AK188" i="9"/>
  <c r="AJ188" i="9"/>
  <c r="AI188" i="9"/>
  <c r="AH188" i="9"/>
  <c r="AG188" i="9"/>
  <c r="AF188" i="9"/>
  <c r="AE188" i="9"/>
  <c r="AD188" i="9"/>
  <c r="AC188" i="9"/>
  <c r="AB188" i="9"/>
  <c r="AA188" i="9"/>
  <c r="Z188" i="9"/>
  <c r="Y188" i="9"/>
  <c r="X188" i="9"/>
  <c r="W188" i="9"/>
  <c r="V188" i="9"/>
  <c r="U188" i="9"/>
  <c r="T188" i="9"/>
  <c r="S188" i="9"/>
  <c r="R188" i="9"/>
  <c r="Q188" i="9"/>
  <c r="P188" i="9"/>
  <c r="O188" i="9"/>
  <c r="N188" i="9"/>
  <c r="M188" i="9"/>
  <c r="L188" i="9"/>
  <c r="K188" i="9"/>
  <c r="J188" i="9"/>
  <c r="I188" i="9"/>
  <c r="H188" i="9"/>
  <c r="G188" i="9"/>
  <c r="F188" i="9"/>
  <c r="E188" i="9"/>
  <c r="D188" i="9"/>
  <c r="C188" i="9"/>
  <c r="AZ187" i="9"/>
  <c r="AY187" i="9"/>
  <c r="AX187" i="9"/>
  <c r="AW187" i="9"/>
  <c r="AV187" i="9"/>
  <c r="AU187" i="9"/>
  <c r="AT187" i="9"/>
  <c r="AS187" i="9"/>
  <c r="AR187" i="9"/>
  <c r="AQ187" i="9"/>
  <c r="AP187" i="9"/>
  <c r="AO187" i="9"/>
  <c r="AN187" i="9"/>
  <c r="AM187" i="9"/>
  <c r="AL187" i="9"/>
  <c r="AK187" i="9"/>
  <c r="AJ187" i="9"/>
  <c r="AI187" i="9"/>
  <c r="AH187" i="9"/>
  <c r="AG187" i="9"/>
  <c r="AF187" i="9"/>
  <c r="AE187" i="9"/>
  <c r="AD187" i="9"/>
  <c r="AC187" i="9"/>
  <c r="AB187" i="9"/>
  <c r="AA187" i="9"/>
  <c r="Z187" i="9"/>
  <c r="Y187" i="9"/>
  <c r="X187" i="9"/>
  <c r="W187" i="9"/>
  <c r="V187" i="9"/>
  <c r="U187" i="9"/>
  <c r="T187" i="9"/>
  <c r="S187" i="9"/>
  <c r="R187" i="9"/>
  <c r="Q187" i="9"/>
  <c r="P187" i="9"/>
  <c r="O187" i="9"/>
  <c r="N187" i="9"/>
  <c r="M187" i="9"/>
  <c r="L187" i="9"/>
  <c r="K187" i="9"/>
  <c r="J187" i="9"/>
  <c r="I187" i="9"/>
  <c r="H187" i="9"/>
  <c r="G187" i="9"/>
  <c r="F187" i="9"/>
  <c r="E187" i="9"/>
  <c r="D187" i="9"/>
  <c r="C187" i="9"/>
  <c r="AZ186" i="9"/>
  <c r="AY186" i="9"/>
  <c r="AX186" i="9"/>
  <c r="AW186" i="9"/>
  <c r="AV186" i="9"/>
  <c r="AU186" i="9"/>
  <c r="AT186" i="9"/>
  <c r="AS186" i="9"/>
  <c r="AR186" i="9"/>
  <c r="AQ186" i="9"/>
  <c r="AP186" i="9"/>
  <c r="AO186" i="9"/>
  <c r="AN186" i="9"/>
  <c r="AM186" i="9"/>
  <c r="AL186" i="9"/>
  <c r="AK186" i="9"/>
  <c r="AJ186" i="9"/>
  <c r="AI186" i="9"/>
  <c r="AH186" i="9"/>
  <c r="AG186" i="9"/>
  <c r="AF186" i="9"/>
  <c r="AE186" i="9"/>
  <c r="AD186" i="9"/>
  <c r="AC186" i="9"/>
  <c r="AB186" i="9"/>
  <c r="AA186" i="9"/>
  <c r="Z186" i="9"/>
  <c r="Y186" i="9"/>
  <c r="X186" i="9"/>
  <c r="W186" i="9"/>
  <c r="V186" i="9"/>
  <c r="U186" i="9"/>
  <c r="T186" i="9"/>
  <c r="S186" i="9"/>
  <c r="R186" i="9"/>
  <c r="Q186" i="9"/>
  <c r="P186" i="9"/>
  <c r="O186" i="9"/>
  <c r="N186" i="9"/>
  <c r="M186" i="9"/>
  <c r="L186" i="9"/>
  <c r="K186" i="9"/>
  <c r="J186" i="9"/>
  <c r="I186" i="9"/>
  <c r="H186" i="9"/>
  <c r="G186" i="9"/>
  <c r="F186" i="9"/>
  <c r="E186" i="9"/>
  <c r="D186" i="9"/>
  <c r="C186" i="9"/>
  <c r="AZ185" i="9"/>
  <c r="AY185" i="9"/>
  <c r="AX185" i="9"/>
  <c r="AW185" i="9"/>
  <c r="AV185" i="9"/>
  <c r="AU185" i="9"/>
  <c r="AT185" i="9"/>
  <c r="AS185" i="9"/>
  <c r="AR185" i="9"/>
  <c r="AQ185" i="9"/>
  <c r="AP185" i="9"/>
  <c r="AO185" i="9"/>
  <c r="AN185" i="9"/>
  <c r="AM185" i="9"/>
  <c r="AL185" i="9"/>
  <c r="AK185" i="9"/>
  <c r="AJ185" i="9"/>
  <c r="AI185" i="9"/>
  <c r="AH185" i="9"/>
  <c r="AG185" i="9"/>
  <c r="AF185" i="9"/>
  <c r="AE185" i="9"/>
  <c r="AD185" i="9"/>
  <c r="AC185" i="9"/>
  <c r="AB185" i="9"/>
  <c r="AA185" i="9"/>
  <c r="Z185" i="9"/>
  <c r="Y185" i="9"/>
  <c r="X185" i="9"/>
  <c r="W185" i="9"/>
  <c r="V185" i="9"/>
  <c r="U185" i="9"/>
  <c r="T185" i="9"/>
  <c r="S185" i="9"/>
  <c r="R185" i="9"/>
  <c r="Q185" i="9"/>
  <c r="P185" i="9"/>
  <c r="O185" i="9"/>
  <c r="N185" i="9"/>
  <c r="M185" i="9"/>
  <c r="L185" i="9"/>
  <c r="K185" i="9"/>
  <c r="J185" i="9"/>
  <c r="I185" i="9"/>
  <c r="H185" i="9"/>
  <c r="G185" i="9"/>
  <c r="F185" i="9"/>
  <c r="E185" i="9"/>
  <c r="D185" i="9"/>
  <c r="C185" i="9"/>
  <c r="AZ184" i="9"/>
  <c r="AY184" i="9"/>
  <c r="AX184" i="9"/>
  <c r="AW184" i="9"/>
  <c r="AV184" i="9"/>
  <c r="AU184" i="9"/>
  <c r="AT184" i="9"/>
  <c r="AS184" i="9"/>
  <c r="AR184" i="9"/>
  <c r="AQ184" i="9"/>
  <c r="AP184" i="9"/>
  <c r="AO184" i="9"/>
  <c r="AN184" i="9"/>
  <c r="AM184" i="9"/>
  <c r="AL184" i="9"/>
  <c r="AK184" i="9"/>
  <c r="AJ184" i="9"/>
  <c r="AI184" i="9"/>
  <c r="AH184" i="9"/>
  <c r="AG184" i="9"/>
  <c r="AF184" i="9"/>
  <c r="AE184" i="9"/>
  <c r="AD184" i="9"/>
  <c r="AC184" i="9"/>
  <c r="AB184" i="9"/>
  <c r="AA184" i="9"/>
  <c r="Z184" i="9"/>
  <c r="Y184" i="9"/>
  <c r="X184" i="9"/>
  <c r="W184" i="9"/>
  <c r="V184" i="9"/>
  <c r="U184" i="9"/>
  <c r="T184" i="9"/>
  <c r="S184" i="9"/>
  <c r="R184" i="9"/>
  <c r="Q184" i="9"/>
  <c r="P184" i="9"/>
  <c r="O184" i="9"/>
  <c r="N184" i="9"/>
  <c r="M184" i="9"/>
  <c r="L184" i="9"/>
  <c r="K184" i="9"/>
  <c r="J184" i="9"/>
  <c r="I184" i="9"/>
  <c r="H184" i="9"/>
  <c r="G184" i="9"/>
  <c r="F184" i="9"/>
  <c r="E184" i="9"/>
  <c r="D184" i="9"/>
  <c r="C184" i="9"/>
  <c r="AZ183" i="9"/>
  <c r="AY183" i="9"/>
  <c r="AX183" i="9"/>
  <c r="AW183" i="9"/>
  <c r="AV183" i="9"/>
  <c r="AU183" i="9"/>
  <c r="AT183" i="9"/>
  <c r="AS183" i="9"/>
  <c r="AR183" i="9"/>
  <c r="AQ183" i="9"/>
  <c r="AP183" i="9"/>
  <c r="AO183" i="9"/>
  <c r="AN183" i="9"/>
  <c r="AM183" i="9"/>
  <c r="AL183" i="9"/>
  <c r="AK183" i="9"/>
  <c r="AJ183" i="9"/>
  <c r="AI183" i="9"/>
  <c r="AH183" i="9"/>
  <c r="AG183" i="9"/>
  <c r="AF183" i="9"/>
  <c r="AE183" i="9"/>
  <c r="AD183" i="9"/>
  <c r="AC183" i="9"/>
  <c r="AB183" i="9"/>
  <c r="AA183" i="9"/>
  <c r="Z183" i="9"/>
  <c r="Y183" i="9"/>
  <c r="X183" i="9"/>
  <c r="W183" i="9"/>
  <c r="V183" i="9"/>
  <c r="U183" i="9"/>
  <c r="T183" i="9"/>
  <c r="S183" i="9"/>
  <c r="R183" i="9"/>
  <c r="Q183" i="9"/>
  <c r="P183" i="9"/>
  <c r="O183" i="9"/>
  <c r="N183" i="9"/>
  <c r="M183" i="9"/>
  <c r="L183" i="9"/>
  <c r="K183" i="9"/>
  <c r="J183" i="9"/>
  <c r="I183" i="9"/>
  <c r="H183" i="9"/>
  <c r="G183" i="9"/>
  <c r="F183" i="9"/>
  <c r="E183" i="9"/>
  <c r="D183" i="9"/>
  <c r="C183" i="9"/>
  <c r="AZ182" i="9"/>
  <c r="AY182" i="9"/>
  <c r="AX182" i="9"/>
  <c r="AW182" i="9"/>
  <c r="AV182" i="9"/>
  <c r="AU182" i="9"/>
  <c r="AT182" i="9"/>
  <c r="AS182" i="9"/>
  <c r="AR182" i="9"/>
  <c r="AQ182" i="9"/>
  <c r="AP182" i="9"/>
  <c r="AO182" i="9"/>
  <c r="AN182" i="9"/>
  <c r="AM182" i="9"/>
  <c r="AL182" i="9"/>
  <c r="AK182" i="9"/>
  <c r="AJ182" i="9"/>
  <c r="AI182" i="9"/>
  <c r="AH182" i="9"/>
  <c r="AG182" i="9"/>
  <c r="AF182" i="9"/>
  <c r="AE182" i="9"/>
  <c r="AD182" i="9"/>
  <c r="AC182" i="9"/>
  <c r="AB182" i="9"/>
  <c r="AA182" i="9"/>
  <c r="Z182" i="9"/>
  <c r="Y182" i="9"/>
  <c r="X182" i="9"/>
  <c r="W182" i="9"/>
  <c r="V182" i="9"/>
  <c r="U182" i="9"/>
  <c r="T182" i="9"/>
  <c r="S182" i="9"/>
  <c r="R182" i="9"/>
  <c r="Q182" i="9"/>
  <c r="P182" i="9"/>
  <c r="O182" i="9"/>
  <c r="N182" i="9"/>
  <c r="M182" i="9"/>
  <c r="L182" i="9"/>
  <c r="K182" i="9"/>
  <c r="J182" i="9"/>
  <c r="I182" i="9"/>
  <c r="H182" i="9"/>
  <c r="G182" i="9"/>
  <c r="F182" i="9"/>
  <c r="E182" i="9"/>
  <c r="D182" i="9"/>
  <c r="C182" i="9"/>
  <c r="AZ181" i="9"/>
  <c r="AY181" i="9"/>
  <c r="AX181" i="9"/>
  <c r="AW181" i="9"/>
  <c r="AV181" i="9"/>
  <c r="AU181" i="9"/>
  <c r="AT181" i="9"/>
  <c r="AS181" i="9"/>
  <c r="AR181" i="9"/>
  <c r="AQ181" i="9"/>
  <c r="AP181" i="9"/>
  <c r="AO181" i="9"/>
  <c r="AN181" i="9"/>
  <c r="AM181" i="9"/>
  <c r="AL181" i="9"/>
  <c r="AK181" i="9"/>
  <c r="AJ181" i="9"/>
  <c r="AI181" i="9"/>
  <c r="AH181" i="9"/>
  <c r="AG181" i="9"/>
  <c r="AF181" i="9"/>
  <c r="AE181" i="9"/>
  <c r="AD181" i="9"/>
  <c r="AC181" i="9"/>
  <c r="AB181" i="9"/>
  <c r="AA181" i="9"/>
  <c r="Z181" i="9"/>
  <c r="Y181" i="9"/>
  <c r="X181" i="9"/>
  <c r="W181" i="9"/>
  <c r="V181" i="9"/>
  <c r="U181" i="9"/>
  <c r="T181" i="9"/>
  <c r="S181" i="9"/>
  <c r="R181" i="9"/>
  <c r="Q181" i="9"/>
  <c r="P181" i="9"/>
  <c r="O181" i="9"/>
  <c r="N181" i="9"/>
  <c r="M181" i="9"/>
  <c r="L181" i="9"/>
  <c r="K181" i="9"/>
  <c r="J181" i="9"/>
  <c r="I181" i="9"/>
  <c r="H181" i="9"/>
  <c r="G181" i="9"/>
  <c r="F181" i="9"/>
  <c r="E181" i="9"/>
  <c r="D181" i="9"/>
  <c r="C181" i="9"/>
  <c r="AZ180" i="9"/>
  <c r="AY180" i="9"/>
  <c r="AX180" i="9"/>
  <c r="AW180" i="9"/>
  <c r="AV180" i="9"/>
  <c r="AU180" i="9"/>
  <c r="AT180" i="9"/>
  <c r="AS180" i="9"/>
  <c r="AR180" i="9"/>
  <c r="AQ180" i="9"/>
  <c r="AP180" i="9"/>
  <c r="AO180" i="9"/>
  <c r="AN180" i="9"/>
  <c r="AM180" i="9"/>
  <c r="AL180" i="9"/>
  <c r="AK180" i="9"/>
  <c r="AJ180" i="9"/>
  <c r="AI180" i="9"/>
  <c r="AH180" i="9"/>
  <c r="AG180" i="9"/>
  <c r="AF180" i="9"/>
  <c r="AE180" i="9"/>
  <c r="AD180" i="9"/>
  <c r="AC180" i="9"/>
  <c r="AB180" i="9"/>
  <c r="AA180" i="9"/>
  <c r="Z180" i="9"/>
  <c r="Y180" i="9"/>
  <c r="X180" i="9"/>
  <c r="W180" i="9"/>
  <c r="V180" i="9"/>
  <c r="U180" i="9"/>
  <c r="T180" i="9"/>
  <c r="S180" i="9"/>
  <c r="R180" i="9"/>
  <c r="Q180" i="9"/>
  <c r="P180" i="9"/>
  <c r="O180" i="9"/>
  <c r="N180" i="9"/>
  <c r="M180" i="9"/>
  <c r="L180" i="9"/>
  <c r="K180" i="9"/>
  <c r="J180" i="9"/>
  <c r="I180" i="9"/>
  <c r="H180" i="9"/>
  <c r="G180" i="9"/>
  <c r="F180" i="9"/>
  <c r="E180" i="9"/>
  <c r="D180" i="9"/>
  <c r="C180" i="9"/>
  <c r="AZ179" i="9"/>
  <c r="AY179" i="9"/>
  <c r="AX179" i="9"/>
  <c r="AW179" i="9"/>
  <c r="AV179" i="9"/>
  <c r="AU179" i="9"/>
  <c r="AT179" i="9"/>
  <c r="AS179" i="9"/>
  <c r="AR179" i="9"/>
  <c r="AQ179" i="9"/>
  <c r="AP179" i="9"/>
  <c r="AO179" i="9"/>
  <c r="AN179" i="9"/>
  <c r="AM179" i="9"/>
  <c r="AL179" i="9"/>
  <c r="AK179" i="9"/>
  <c r="AJ179" i="9"/>
  <c r="AI179" i="9"/>
  <c r="AH179" i="9"/>
  <c r="AG179" i="9"/>
  <c r="AF179" i="9"/>
  <c r="AE179" i="9"/>
  <c r="AD179" i="9"/>
  <c r="AC179" i="9"/>
  <c r="AB179" i="9"/>
  <c r="AA179" i="9"/>
  <c r="Z179" i="9"/>
  <c r="Y179" i="9"/>
  <c r="X179" i="9"/>
  <c r="W179" i="9"/>
  <c r="V179" i="9"/>
  <c r="U179" i="9"/>
  <c r="T179" i="9"/>
  <c r="S179" i="9"/>
  <c r="R179" i="9"/>
  <c r="Q179" i="9"/>
  <c r="P179" i="9"/>
  <c r="O179" i="9"/>
  <c r="N179" i="9"/>
  <c r="M179" i="9"/>
  <c r="L179" i="9"/>
  <c r="K179" i="9"/>
  <c r="J179" i="9"/>
  <c r="I179" i="9"/>
  <c r="H179" i="9"/>
  <c r="G179" i="9"/>
  <c r="F179" i="9"/>
  <c r="E179" i="9"/>
  <c r="D179" i="9"/>
  <c r="C179" i="9"/>
  <c r="AZ178" i="9"/>
  <c r="AY178" i="9"/>
  <c r="AX178" i="9"/>
  <c r="AW178" i="9"/>
  <c r="AV178" i="9"/>
  <c r="AU178" i="9"/>
  <c r="AT178" i="9"/>
  <c r="AS178" i="9"/>
  <c r="AR178" i="9"/>
  <c r="AQ178" i="9"/>
  <c r="AP178" i="9"/>
  <c r="AO178" i="9"/>
  <c r="AN178" i="9"/>
  <c r="AM178" i="9"/>
  <c r="AL178" i="9"/>
  <c r="AK178" i="9"/>
  <c r="AJ178" i="9"/>
  <c r="AI178" i="9"/>
  <c r="AH178" i="9"/>
  <c r="AG178" i="9"/>
  <c r="AF178" i="9"/>
  <c r="AE178" i="9"/>
  <c r="AD178" i="9"/>
  <c r="AC178" i="9"/>
  <c r="AB178" i="9"/>
  <c r="AA178" i="9"/>
  <c r="Z178" i="9"/>
  <c r="Y178" i="9"/>
  <c r="X178" i="9"/>
  <c r="W178" i="9"/>
  <c r="V178" i="9"/>
  <c r="U178" i="9"/>
  <c r="T178" i="9"/>
  <c r="S178" i="9"/>
  <c r="R178" i="9"/>
  <c r="Q178" i="9"/>
  <c r="P178" i="9"/>
  <c r="O178" i="9"/>
  <c r="N178" i="9"/>
  <c r="M178" i="9"/>
  <c r="L178" i="9"/>
  <c r="K178" i="9"/>
  <c r="J178" i="9"/>
  <c r="I178" i="9"/>
  <c r="H178" i="9"/>
  <c r="G178" i="9"/>
  <c r="F178" i="9"/>
  <c r="E178" i="9"/>
  <c r="D178" i="9"/>
  <c r="C178" i="9"/>
  <c r="AZ177" i="9"/>
  <c r="AY177" i="9"/>
  <c r="AX177" i="9"/>
  <c r="AW177" i="9"/>
  <c r="AV177" i="9"/>
  <c r="AU177" i="9"/>
  <c r="AT177" i="9"/>
  <c r="AS177" i="9"/>
  <c r="AR177" i="9"/>
  <c r="AQ177" i="9"/>
  <c r="AP177" i="9"/>
  <c r="AO177" i="9"/>
  <c r="AN177" i="9"/>
  <c r="AM177" i="9"/>
  <c r="AL177" i="9"/>
  <c r="AK177" i="9"/>
  <c r="AJ177" i="9"/>
  <c r="AI177" i="9"/>
  <c r="AH177" i="9"/>
  <c r="AG177" i="9"/>
  <c r="AF177" i="9"/>
  <c r="AE177" i="9"/>
  <c r="AD177" i="9"/>
  <c r="AC177" i="9"/>
  <c r="AB177" i="9"/>
  <c r="AA177" i="9"/>
  <c r="Z177" i="9"/>
  <c r="Y177" i="9"/>
  <c r="X177" i="9"/>
  <c r="W177" i="9"/>
  <c r="V177" i="9"/>
  <c r="U177" i="9"/>
  <c r="T177" i="9"/>
  <c r="S177" i="9"/>
  <c r="R177" i="9"/>
  <c r="Q177" i="9"/>
  <c r="P177" i="9"/>
  <c r="O177" i="9"/>
  <c r="N177" i="9"/>
  <c r="M177" i="9"/>
  <c r="L177" i="9"/>
  <c r="K177" i="9"/>
  <c r="J177" i="9"/>
  <c r="I177" i="9"/>
  <c r="H177" i="9"/>
  <c r="G177" i="9"/>
  <c r="F177" i="9"/>
  <c r="E177" i="9"/>
  <c r="D177" i="9"/>
  <c r="C177" i="9"/>
  <c r="AZ176" i="9"/>
  <c r="AY176" i="9"/>
  <c r="AX176" i="9"/>
  <c r="AW176" i="9"/>
  <c r="AV176" i="9"/>
  <c r="AU176" i="9"/>
  <c r="AT176" i="9"/>
  <c r="AS176" i="9"/>
  <c r="AR176" i="9"/>
  <c r="AQ176" i="9"/>
  <c r="AP176" i="9"/>
  <c r="AO176" i="9"/>
  <c r="AN176" i="9"/>
  <c r="AM176" i="9"/>
  <c r="AL176" i="9"/>
  <c r="AK176" i="9"/>
  <c r="AJ176" i="9"/>
  <c r="AI176" i="9"/>
  <c r="AH176" i="9"/>
  <c r="AG176" i="9"/>
  <c r="AF176" i="9"/>
  <c r="AE176" i="9"/>
  <c r="AD176" i="9"/>
  <c r="AC176" i="9"/>
  <c r="AB176" i="9"/>
  <c r="AA176" i="9"/>
  <c r="Z176" i="9"/>
  <c r="Y176" i="9"/>
  <c r="X176" i="9"/>
  <c r="W176" i="9"/>
  <c r="V176" i="9"/>
  <c r="U176" i="9"/>
  <c r="T176" i="9"/>
  <c r="S176" i="9"/>
  <c r="R176" i="9"/>
  <c r="Q176" i="9"/>
  <c r="P176" i="9"/>
  <c r="O176" i="9"/>
  <c r="N176" i="9"/>
  <c r="M176" i="9"/>
  <c r="L176" i="9"/>
  <c r="K176" i="9"/>
  <c r="J176" i="9"/>
  <c r="I176" i="9"/>
  <c r="H176" i="9"/>
  <c r="G176" i="9"/>
  <c r="F176" i="9"/>
  <c r="E176" i="9"/>
  <c r="D176" i="9"/>
  <c r="C176" i="9"/>
  <c r="AZ175" i="9"/>
  <c r="AY175" i="9"/>
  <c r="AX175" i="9"/>
  <c r="AW175" i="9"/>
  <c r="AV175" i="9"/>
  <c r="AU175" i="9"/>
  <c r="AT175" i="9"/>
  <c r="AS175" i="9"/>
  <c r="AR175" i="9"/>
  <c r="AQ175" i="9"/>
  <c r="AP175" i="9"/>
  <c r="AO175" i="9"/>
  <c r="AN175" i="9"/>
  <c r="AM175" i="9"/>
  <c r="AL175" i="9"/>
  <c r="AK175" i="9"/>
  <c r="AJ175" i="9"/>
  <c r="AI175" i="9"/>
  <c r="AH175" i="9"/>
  <c r="AG175" i="9"/>
  <c r="AF175" i="9"/>
  <c r="AE175" i="9"/>
  <c r="AD175" i="9"/>
  <c r="AC175" i="9"/>
  <c r="AB175" i="9"/>
  <c r="AA175" i="9"/>
  <c r="Z175" i="9"/>
  <c r="Y175" i="9"/>
  <c r="X175" i="9"/>
  <c r="W175" i="9"/>
  <c r="V175" i="9"/>
  <c r="U175" i="9"/>
  <c r="T175" i="9"/>
  <c r="S175" i="9"/>
  <c r="R175" i="9"/>
  <c r="Q175" i="9"/>
  <c r="P175" i="9"/>
  <c r="O175" i="9"/>
  <c r="N175" i="9"/>
  <c r="M175" i="9"/>
  <c r="L175" i="9"/>
  <c r="K175" i="9"/>
  <c r="J175" i="9"/>
  <c r="I175" i="9"/>
  <c r="H175" i="9"/>
  <c r="G175" i="9"/>
  <c r="F175" i="9"/>
  <c r="E175" i="9"/>
  <c r="D175" i="9"/>
  <c r="C175" i="9"/>
  <c r="AZ174" i="9"/>
  <c r="AY174" i="9"/>
  <c r="AX174" i="9"/>
  <c r="AW174" i="9"/>
  <c r="AV174" i="9"/>
  <c r="AU174" i="9"/>
  <c r="AT174" i="9"/>
  <c r="AS174" i="9"/>
  <c r="AR174" i="9"/>
  <c r="AQ174" i="9"/>
  <c r="AP174" i="9"/>
  <c r="AO174" i="9"/>
  <c r="AN174" i="9"/>
  <c r="AM174" i="9"/>
  <c r="AL174" i="9"/>
  <c r="AK174" i="9"/>
  <c r="AJ174" i="9"/>
  <c r="AI174" i="9"/>
  <c r="AH174" i="9"/>
  <c r="AG174" i="9"/>
  <c r="AF174" i="9"/>
  <c r="AE174" i="9"/>
  <c r="AD174" i="9"/>
  <c r="AC174" i="9"/>
  <c r="AB174" i="9"/>
  <c r="AA174" i="9"/>
  <c r="Z174" i="9"/>
  <c r="Y174" i="9"/>
  <c r="X174" i="9"/>
  <c r="W174" i="9"/>
  <c r="V174" i="9"/>
  <c r="U174" i="9"/>
  <c r="T174" i="9"/>
  <c r="S174" i="9"/>
  <c r="R174" i="9"/>
  <c r="Q174" i="9"/>
  <c r="P174" i="9"/>
  <c r="O174" i="9"/>
  <c r="N174" i="9"/>
  <c r="M174" i="9"/>
  <c r="L174" i="9"/>
  <c r="K174" i="9"/>
  <c r="J174" i="9"/>
  <c r="I174" i="9"/>
  <c r="H174" i="9"/>
  <c r="G174" i="9"/>
  <c r="F174" i="9"/>
  <c r="E174" i="9"/>
  <c r="D174" i="9"/>
  <c r="C174" i="9"/>
  <c r="AZ173" i="9"/>
  <c r="AY173" i="9"/>
  <c r="AX173" i="9"/>
  <c r="AW173" i="9"/>
  <c r="AV173" i="9"/>
  <c r="AU173" i="9"/>
  <c r="AT173" i="9"/>
  <c r="AS173" i="9"/>
  <c r="AR173" i="9"/>
  <c r="AQ173" i="9"/>
  <c r="AP173" i="9"/>
  <c r="AO173" i="9"/>
  <c r="AN173" i="9"/>
  <c r="AM173" i="9"/>
  <c r="AL173" i="9"/>
  <c r="AK173" i="9"/>
  <c r="AJ173" i="9"/>
  <c r="AI173" i="9"/>
  <c r="AH173" i="9"/>
  <c r="AG173" i="9"/>
  <c r="AF173" i="9"/>
  <c r="AE173" i="9"/>
  <c r="AD173" i="9"/>
  <c r="AC173" i="9"/>
  <c r="AB173" i="9"/>
  <c r="AA173" i="9"/>
  <c r="Z173" i="9"/>
  <c r="Y173" i="9"/>
  <c r="X173" i="9"/>
  <c r="W173" i="9"/>
  <c r="V173" i="9"/>
  <c r="U173" i="9"/>
  <c r="T173" i="9"/>
  <c r="S173" i="9"/>
  <c r="R173" i="9"/>
  <c r="Q173" i="9"/>
  <c r="P173" i="9"/>
  <c r="O173" i="9"/>
  <c r="N173" i="9"/>
  <c r="M173" i="9"/>
  <c r="L173" i="9"/>
  <c r="K173" i="9"/>
  <c r="J173" i="9"/>
  <c r="I173" i="9"/>
  <c r="H173" i="9"/>
  <c r="G173" i="9"/>
  <c r="F173" i="9"/>
  <c r="E173" i="9"/>
  <c r="D173" i="9"/>
  <c r="C173" i="9"/>
  <c r="AZ172" i="9"/>
  <c r="AY172" i="9"/>
  <c r="AX172" i="9"/>
  <c r="AW172" i="9"/>
  <c r="AV172" i="9"/>
  <c r="AU172" i="9"/>
  <c r="AT172" i="9"/>
  <c r="AS172" i="9"/>
  <c r="AR172" i="9"/>
  <c r="AQ172" i="9"/>
  <c r="AP172" i="9"/>
  <c r="AO172" i="9"/>
  <c r="AN172" i="9"/>
  <c r="AM172" i="9"/>
  <c r="AL172" i="9"/>
  <c r="AK172" i="9"/>
  <c r="AJ172" i="9"/>
  <c r="AI172" i="9"/>
  <c r="AH172" i="9"/>
  <c r="AG172" i="9"/>
  <c r="AF172" i="9"/>
  <c r="AE172" i="9"/>
  <c r="AD172" i="9"/>
  <c r="AC172" i="9"/>
  <c r="AB172" i="9"/>
  <c r="AA172" i="9"/>
  <c r="Z172" i="9"/>
  <c r="Y172" i="9"/>
  <c r="X172" i="9"/>
  <c r="W172" i="9"/>
  <c r="V172" i="9"/>
  <c r="U172" i="9"/>
  <c r="T172" i="9"/>
  <c r="S172" i="9"/>
  <c r="R172" i="9"/>
  <c r="Q172" i="9"/>
  <c r="P172" i="9"/>
  <c r="O172" i="9"/>
  <c r="N172" i="9"/>
  <c r="M172" i="9"/>
  <c r="L172" i="9"/>
  <c r="K172" i="9"/>
  <c r="J172" i="9"/>
  <c r="I172" i="9"/>
  <c r="H172" i="9"/>
  <c r="G172" i="9"/>
  <c r="F172" i="9"/>
  <c r="E172" i="9"/>
  <c r="D172" i="9"/>
  <c r="C172" i="9"/>
  <c r="AZ171" i="9"/>
  <c r="AY171" i="9"/>
  <c r="AX171" i="9"/>
  <c r="AW171" i="9"/>
  <c r="AV171" i="9"/>
  <c r="AU171" i="9"/>
  <c r="AT171" i="9"/>
  <c r="AS171" i="9"/>
  <c r="AR171" i="9"/>
  <c r="AQ171" i="9"/>
  <c r="AP171" i="9"/>
  <c r="AO171" i="9"/>
  <c r="AN171" i="9"/>
  <c r="AM171" i="9"/>
  <c r="AL171" i="9"/>
  <c r="AK171" i="9"/>
  <c r="AJ171" i="9"/>
  <c r="AI171" i="9"/>
  <c r="AH171" i="9"/>
  <c r="AG171" i="9"/>
  <c r="AF171" i="9"/>
  <c r="AE171" i="9"/>
  <c r="AD171" i="9"/>
  <c r="AC171" i="9"/>
  <c r="AB171" i="9"/>
  <c r="AA171" i="9"/>
  <c r="Z171" i="9"/>
  <c r="Y171" i="9"/>
  <c r="X171" i="9"/>
  <c r="W171" i="9"/>
  <c r="V171" i="9"/>
  <c r="U171" i="9"/>
  <c r="T171" i="9"/>
  <c r="S171" i="9"/>
  <c r="R171" i="9"/>
  <c r="Q171" i="9"/>
  <c r="P171" i="9"/>
  <c r="O171" i="9"/>
  <c r="N171" i="9"/>
  <c r="M171" i="9"/>
  <c r="L171" i="9"/>
  <c r="K171" i="9"/>
  <c r="J171" i="9"/>
  <c r="I171" i="9"/>
  <c r="H171" i="9"/>
  <c r="G171" i="9"/>
  <c r="F171" i="9"/>
  <c r="E171" i="9"/>
  <c r="D171" i="9"/>
  <c r="C171" i="9"/>
  <c r="AZ170" i="9"/>
  <c r="AY170" i="9"/>
  <c r="AX170" i="9"/>
  <c r="AW170" i="9"/>
  <c r="AV170" i="9"/>
  <c r="AU170" i="9"/>
  <c r="AT170" i="9"/>
  <c r="AS170" i="9"/>
  <c r="AR170" i="9"/>
  <c r="AQ170" i="9"/>
  <c r="AP170" i="9"/>
  <c r="AO170" i="9"/>
  <c r="AN170" i="9"/>
  <c r="AM170" i="9"/>
  <c r="AL170" i="9"/>
  <c r="AK170" i="9"/>
  <c r="AJ170" i="9"/>
  <c r="AI170" i="9"/>
  <c r="AH170" i="9"/>
  <c r="AG170" i="9"/>
  <c r="AF170" i="9"/>
  <c r="AE170" i="9"/>
  <c r="AD170" i="9"/>
  <c r="AC170" i="9"/>
  <c r="AB170" i="9"/>
  <c r="AA170" i="9"/>
  <c r="Z170" i="9"/>
  <c r="Y170" i="9"/>
  <c r="X170" i="9"/>
  <c r="W170" i="9"/>
  <c r="V170" i="9"/>
  <c r="U170" i="9"/>
  <c r="T170" i="9"/>
  <c r="S170" i="9"/>
  <c r="R170" i="9"/>
  <c r="Q170" i="9"/>
  <c r="P170" i="9"/>
  <c r="O170" i="9"/>
  <c r="N170" i="9"/>
  <c r="M170" i="9"/>
  <c r="L170" i="9"/>
  <c r="K170" i="9"/>
  <c r="J170" i="9"/>
  <c r="I170" i="9"/>
  <c r="H170" i="9"/>
  <c r="G170" i="9"/>
  <c r="F170" i="9"/>
  <c r="E170" i="9"/>
  <c r="D170" i="9"/>
  <c r="C170" i="9"/>
  <c r="AZ169" i="9"/>
  <c r="AY169" i="9"/>
  <c r="AX169" i="9"/>
  <c r="AW169" i="9"/>
  <c r="AV169" i="9"/>
  <c r="AU169" i="9"/>
  <c r="AT169" i="9"/>
  <c r="AS169" i="9"/>
  <c r="AR169" i="9"/>
  <c r="AQ169" i="9"/>
  <c r="AP169" i="9"/>
  <c r="AO169" i="9"/>
  <c r="AN169" i="9"/>
  <c r="AM169" i="9"/>
  <c r="AL169" i="9"/>
  <c r="AK169" i="9"/>
  <c r="AJ169" i="9"/>
  <c r="AI169" i="9"/>
  <c r="AH169" i="9"/>
  <c r="AG169" i="9"/>
  <c r="AF169" i="9"/>
  <c r="AE169" i="9"/>
  <c r="AD169" i="9"/>
  <c r="AC169" i="9"/>
  <c r="AB169" i="9"/>
  <c r="AA169" i="9"/>
  <c r="Z169" i="9"/>
  <c r="Y169" i="9"/>
  <c r="X169" i="9"/>
  <c r="W169" i="9"/>
  <c r="V169" i="9"/>
  <c r="U169" i="9"/>
  <c r="T169" i="9"/>
  <c r="S169" i="9"/>
  <c r="R169" i="9"/>
  <c r="Q169" i="9"/>
  <c r="P169" i="9"/>
  <c r="O169" i="9"/>
  <c r="N169" i="9"/>
  <c r="M169" i="9"/>
  <c r="L169" i="9"/>
  <c r="K169" i="9"/>
  <c r="J169" i="9"/>
  <c r="I169" i="9"/>
  <c r="H169" i="9"/>
  <c r="G169" i="9"/>
  <c r="F169" i="9"/>
  <c r="E169" i="9"/>
  <c r="D169" i="9"/>
  <c r="C169" i="9"/>
  <c r="AZ168" i="9"/>
  <c r="AY168" i="9"/>
  <c r="AX168" i="9"/>
  <c r="AW168" i="9"/>
  <c r="AV168" i="9"/>
  <c r="AU168" i="9"/>
  <c r="AT168" i="9"/>
  <c r="AS168" i="9"/>
  <c r="AR168" i="9"/>
  <c r="AQ168" i="9"/>
  <c r="AP168" i="9"/>
  <c r="AO168" i="9"/>
  <c r="AN168" i="9"/>
  <c r="AM168" i="9"/>
  <c r="AL168" i="9"/>
  <c r="AK168" i="9"/>
  <c r="AJ168" i="9"/>
  <c r="AI168" i="9"/>
  <c r="AH168" i="9"/>
  <c r="AG168" i="9"/>
  <c r="AF168" i="9"/>
  <c r="AE168" i="9"/>
  <c r="AD168" i="9"/>
  <c r="AC168" i="9"/>
  <c r="AB168" i="9"/>
  <c r="AA168" i="9"/>
  <c r="Z168" i="9"/>
  <c r="Y168" i="9"/>
  <c r="X168" i="9"/>
  <c r="W168" i="9"/>
  <c r="V168" i="9"/>
  <c r="U168" i="9"/>
  <c r="T168" i="9"/>
  <c r="S168" i="9"/>
  <c r="R168" i="9"/>
  <c r="Q168" i="9"/>
  <c r="P168" i="9"/>
  <c r="O168" i="9"/>
  <c r="N168" i="9"/>
  <c r="M168" i="9"/>
  <c r="L168" i="9"/>
  <c r="K168" i="9"/>
  <c r="J168" i="9"/>
  <c r="I168" i="9"/>
  <c r="H168" i="9"/>
  <c r="G168" i="9"/>
  <c r="F168" i="9"/>
  <c r="E168" i="9"/>
  <c r="D168" i="9"/>
  <c r="C168" i="9"/>
  <c r="AZ167" i="9"/>
  <c r="AY167" i="9"/>
  <c r="AX167" i="9"/>
  <c r="AW167" i="9"/>
  <c r="AV167" i="9"/>
  <c r="AU167" i="9"/>
  <c r="AT167" i="9"/>
  <c r="AS167" i="9"/>
  <c r="AR167" i="9"/>
  <c r="AQ167" i="9"/>
  <c r="AP167" i="9"/>
  <c r="AO167" i="9"/>
  <c r="AN167" i="9"/>
  <c r="AM167" i="9"/>
  <c r="AL167" i="9"/>
  <c r="AK167" i="9"/>
  <c r="AJ167" i="9"/>
  <c r="AI167" i="9"/>
  <c r="AH167" i="9"/>
  <c r="AG167" i="9"/>
  <c r="AF167" i="9"/>
  <c r="AE167" i="9"/>
  <c r="AD167" i="9"/>
  <c r="AC167" i="9"/>
  <c r="AB167" i="9"/>
  <c r="AA167" i="9"/>
  <c r="Z167" i="9"/>
  <c r="Y167" i="9"/>
  <c r="X167" i="9"/>
  <c r="W167" i="9"/>
  <c r="V167" i="9"/>
  <c r="U167" i="9"/>
  <c r="T167" i="9"/>
  <c r="S167" i="9"/>
  <c r="R167" i="9"/>
  <c r="Q167" i="9"/>
  <c r="P167" i="9"/>
  <c r="O167" i="9"/>
  <c r="N167" i="9"/>
  <c r="M167" i="9"/>
  <c r="L167" i="9"/>
  <c r="K167" i="9"/>
  <c r="J167" i="9"/>
  <c r="I167" i="9"/>
  <c r="H167" i="9"/>
  <c r="G167" i="9"/>
  <c r="F167" i="9"/>
  <c r="E167" i="9"/>
  <c r="D167" i="9"/>
  <c r="C167" i="9"/>
  <c r="AZ166" i="9"/>
  <c r="AY166" i="9"/>
  <c r="AX166" i="9"/>
  <c r="AW166" i="9"/>
  <c r="AV166" i="9"/>
  <c r="AU166" i="9"/>
  <c r="AT166" i="9"/>
  <c r="AS166" i="9"/>
  <c r="AR166" i="9"/>
  <c r="AQ166" i="9"/>
  <c r="AP166" i="9"/>
  <c r="AO166" i="9"/>
  <c r="AN166" i="9"/>
  <c r="AM166" i="9"/>
  <c r="AL166" i="9"/>
  <c r="AK166" i="9"/>
  <c r="AJ166" i="9"/>
  <c r="AI166" i="9"/>
  <c r="AH166" i="9"/>
  <c r="AG166" i="9"/>
  <c r="AF166" i="9"/>
  <c r="AE166" i="9"/>
  <c r="AD166" i="9"/>
  <c r="AC166" i="9"/>
  <c r="AB166" i="9"/>
  <c r="AA166" i="9"/>
  <c r="Z166" i="9"/>
  <c r="Y166" i="9"/>
  <c r="X166" i="9"/>
  <c r="W166" i="9"/>
  <c r="V166" i="9"/>
  <c r="U166" i="9"/>
  <c r="T166" i="9"/>
  <c r="S166" i="9"/>
  <c r="R166" i="9"/>
  <c r="Q166" i="9"/>
  <c r="P166" i="9"/>
  <c r="O166" i="9"/>
  <c r="N166" i="9"/>
  <c r="M166" i="9"/>
  <c r="L166" i="9"/>
  <c r="K166" i="9"/>
  <c r="J166" i="9"/>
  <c r="I166" i="9"/>
  <c r="H166" i="9"/>
  <c r="G166" i="9"/>
  <c r="F166" i="9"/>
  <c r="E166" i="9"/>
  <c r="D166" i="9"/>
  <c r="C166" i="9"/>
  <c r="AZ165" i="9"/>
  <c r="AY165" i="9"/>
  <c r="AX165" i="9"/>
  <c r="AW165" i="9"/>
  <c r="AV165" i="9"/>
  <c r="AU165" i="9"/>
  <c r="AT165" i="9"/>
  <c r="AS165" i="9"/>
  <c r="AR165" i="9"/>
  <c r="AQ165" i="9"/>
  <c r="AP165" i="9"/>
  <c r="AO165" i="9"/>
  <c r="AN165" i="9"/>
  <c r="AM165" i="9"/>
  <c r="AL165" i="9"/>
  <c r="AK165" i="9"/>
  <c r="AJ165" i="9"/>
  <c r="AI165" i="9"/>
  <c r="AH165" i="9"/>
  <c r="AG165" i="9"/>
  <c r="AF165" i="9"/>
  <c r="AE165" i="9"/>
  <c r="AD165" i="9"/>
  <c r="AC165" i="9"/>
  <c r="AB165" i="9"/>
  <c r="AA165" i="9"/>
  <c r="Z165" i="9"/>
  <c r="Y165" i="9"/>
  <c r="X165" i="9"/>
  <c r="W165" i="9"/>
  <c r="V165" i="9"/>
  <c r="U165" i="9"/>
  <c r="T165" i="9"/>
  <c r="S165" i="9"/>
  <c r="R165" i="9"/>
  <c r="Q165" i="9"/>
  <c r="P165" i="9"/>
  <c r="O165" i="9"/>
  <c r="N165" i="9"/>
  <c r="M165" i="9"/>
  <c r="L165" i="9"/>
  <c r="K165" i="9"/>
  <c r="J165" i="9"/>
  <c r="I165" i="9"/>
  <c r="H165" i="9"/>
  <c r="G165" i="9"/>
  <c r="F165" i="9"/>
  <c r="E165" i="9"/>
  <c r="D165" i="9"/>
  <c r="C165" i="9"/>
  <c r="AZ164" i="9"/>
  <c r="AY164" i="9"/>
  <c r="AX164" i="9"/>
  <c r="AW164" i="9"/>
  <c r="AV164" i="9"/>
  <c r="AU164" i="9"/>
  <c r="AT164" i="9"/>
  <c r="AS164" i="9"/>
  <c r="AR164" i="9"/>
  <c r="AQ164" i="9"/>
  <c r="AP164" i="9"/>
  <c r="AO164" i="9"/>
  <c r="AN164" i="9"/>
  <c r="AM164" i="9"/>
  <c r="AL164" i="9"/>
  <c r="AK164" i="9"/>
  <c r="AJ164" i="9"/>
  <c r="AI164" i="9"/>
  <c r="AH164" i="9"/>
  <c r="AG164" i="9"/>
  <c r="AF164" i="9"/>
  <c r="AE164" i="9"/>
  <c r="AD164" i="9"/>
  <c r="AC164" i="9"/>
  <c r="AB164" i="9"/>
  <c r="AA164" i="9"/>
  <c r="Z164" i="9"/>
  <c r="Y164" i="9"/>
  <c r="X164" i="9"/>
  <c r="W164" i="9"/>
  <c r="V164" i="9"/>
  <c r="U164" i="9"/>
  <c r="T164" i="9"/>
  <c r="S164" i="9"/>
  <c r="R164" i="9"/>
  <c r="Q164" i="9"/>
  <c r="P164" i="9"/>
  <c r="O164" i="9"/>
  <c r="N164" i="9"/>
  <c r="M164" i="9"/>
  <c r="L164" i="9"/>
  <c r="K164" i="9"/>
  <c r="J164" i="9"/>
  <c r="I164" i="9"/>
  <c r="H164" i="9"/>
  <c r="G164" i="9"/>
  <c r="F164" i="9"/>
  <c r="E164" i="9"/>
  <c r="D164" i="9"/>
  <c r="C164" i="9"/>
  <c r="AZ163" i="9"/>
  <c r="AY163" i="9"/>
  <c r="AX163" i="9"/>
  <c r="AW163" i="9"/>
  <c r="AV163" i="9"/>
  <c r="AU163" i="9"/>
  <c r="AT163" i="9"/>
  <c r="AS163" i="9"/>
  <c r="AR163" i="9"/>
  <c r="AQ163" i="9"/>
  <c r="AP163" i="9"/>
  <c r="AO163" i="9"/>
  <c r="AN163" i="9"/>
  <c r="AM163" i="9"/>
  <c r="AL163" i="9"/>
  <c r="AK163" i="9"/>
  <c r="AJ163" i="9"/>
  <c r="AI163" i="9"/>
  <c r="AH163" i="9"/>
  <c r="AG163" i="9"/>
  <c r="AF163" i="9"/>
  <c r="AE163" i="9"/>
  <c r="AD163" i="9"/>
  <c r="AC163" i="9"/>
  <c r="AB163" i="9"/>
  <c r="AA163" i="9"/>
  <c r="Z163" i="9"/>
  <c r="Y163" i="9"/>
  <c r="X163" i="9"/>
  <c r="W163" i="9"/>
  <c r="V163" i="9"/>
  <c r="U163" i="9"/>
  <c r="T163" i="9"/>
  <c r="S163" i="9"/>
  <c r="R163" i="9"/>
  <c r="Q163" i="9"/>
  <c r="P163" i="9"/>
  <c r="O163" i="9"/>
  <c r="N163" i="9"/>
  <c r="M163" i="9"/>
  <c r="L163" i="9"/>
  <c r="K163" i="9"/>
  <c r="J163" i="9"/>
  <c r="I163" i="9"/>
  <c r="H163" i="9"/>
  <c r="G163" i="9"/>
  <c r="F163" i="9"/>
  <c r="E163" i="9"/>
  <c r="D163" i="9"/>
  <c r="C163" i="9"/>
  <c r="AZ162" i="9"/>
  <c r="AY162" i="9"/>
  <c r="AX162" i="9"/>
  <c r="AW162" i="9"/>
  <c r="AV162" i="9"/>
  <c r="AU162" i="9"/>
  <c r="AT162" i="9"/>
  <c r="AS162" i="9"/>
  <c r="AR162" i="9"/>
  <c r="AQ162" i="9"/>
  <c r="AP162" i="9"/>
  <c r="AO162" i="9"/>
  <c r="AN162" i="9"/>
  <c r="AM162" i="9"/>
  <c r="AL162" i="9"/>
  <c r="AK162" i="9"/>
  <c r="AJ162" i="9"/>
  <c r="AI162" i="9"/>
  <c r="AH162" i="9"/>
  <c r="AG162" i="9"/>
  <c r="AF162" i="9"/>
  <c r="AE162" i="9"/>
  <c r="AD162" i="9"/>
  <c r="AC162" i="9"/>
  <c r="AB162" i="9"/>
  <c r="AA162" i="9"/>
  <c r="Z162" i="9"/>
  <c r="Y162" i="9"/>
  <c r="X162" i="9"/>
  <c r="W162" i="9"/>
  <c r="V162" i="9"/>
  <c r="U162" i="9"/>
  <c r="T162" i="9"/>
  <c r="S162" i="9"/>
  <c r="R162" i="9"/>
  <c r="Q162" i="9"/>
  <c r="P162" i="9"/>
  <c r="O162" i="9"/>
  <c r="N162" i="9"/>
  <c r="M162" i="9"/>
  <c r="L162" i="9"/>
  <c r="K162" i="9"/>
  <c r="J162" i="9"/>
  <c r="I162" i="9"/>
  <c r="H162" i="9"/>
  <c r="G162" i="9"/>
  <c r="F162" i="9"/>
  <c r="E162" i="9"/>
  <c r="D162" i="9"/>
  <c r="C162" i="9"/>
  <c r="AZ161" i="9"/>
  <c r="AY161" i="9"/>
  <c r="AX161" i="9"/>
  <c r="AW161" i="9"/>
  <c r="AV161" i="9"/>
  <c r="AU161" i="9"/>
  <c r="AT161" i="9"/>
  <c r="AS161" i="9"/>
  <c r="AR161" i="9"/>
  <c r="AQ161" i="9"/>
  <c r="AP161" i="9"/>
  <c r="AO161" i="9"/>
  <c r="AN161" i="9"/>
  <c r="AM161" i="9"/>
  <c r="AL161" i="9"/>
  <c r="AK161" i="9"/>
  <c r="AJ161" i="9"/>
  <c r="AI161" i="9"/>
  <c r="AH161" i="9"/>
  <c r="AG161" i="9"/>
  <c r="AF161" i="9"/>
  <c r="AE161" i="9"/>
  <c r="AD161" i="9"/>
  <c r="AC161" i="9"/>
  <c r="AB161" i="9"/>
  <c r="AA161" i="9"/>
  <c r="Z161" i="9"/>
  <c r="Y161" i="9"/>
  <c r="X161" i="9"/>
  <c r="W161" i="9"/>
  <c r="V161" i="9"/>
  <c r="U161" i="9"/>
  <c r="T161" i="9"/>
  <c r="S161" i="9"/>
  <c r="R161" i="9"/>
  <c r="Q161" i="9"/>
  <c r="P161" i="9"/>
  <c r="O161" i="9"/>
  <c r="N161" i="9"/>
  <c r="M161" i="9"/>
  <c r="L161" i="9"/>
  <c r="K161" i="9"/>
  <c r="J161" i="9"/>
  <c r="I161" i="9"/>
  <c r="H161" i="9"/>
  <c r="G161" i="9"/>
  <c r="F161" i="9"/>
  <c r="E161" i="9"/>
  <c r="D161" i="9"/>
  <c r="C161" i="9"/>
  <c r="AZ160" i="9"/>
  <c r="AY160" i="9"/>
  <c r="AX160" i="9"/>
  <c r="AW160" i="9"/>
  <c r="AV160" i="9"/>
  <c r="AU160" i="9"/>
  <c r="AT160" i="9"/>
  <c r="AS160" i="9"/>
  <c r="AR160" i="9"/>
  <c r="AQ160" i="9"/>
  <c r="AP160" i="9"/>
  <c r="AO160" i="9"/>
  <c r="AN160" i="9"/>
  <c r="AM160" i="9"/>
  <c r="AL160" i="9"/>
  <c r="AK160" i="9"/>
  <c r="AJ160" i="9"/>
  <c r="AI160" i="9"/>
  <c r="AH160" i="9"/>
  <c r="AG160" i="9"/>
  <c r="AF160" i="9"/>
  <c r="AE160" i="9"/>
  <c r="AD160" i="9"/>
  <c r="AC160" i="9"/>
  <c r="AB160" i="9"/>
  <c r="AA160" i="9"/>
  <c r="Z160" i="9"/>
  <c r="Y160" i="9"/>
  <c r="X160" i="9"/>
  <c r="W160" i="9"/>
  <c r="V160" i="9"/>
  <c r="U160" i="9"/>
  <c r="T160" i="9"/>
  <c r="S160" i="9"/>
  <c r="R160" i="9"/>
  <c r="Q160" i="9"/>
  <c r="P160" i="9"/>
  <c r="O160" i="9"/>
  <c r="N160" i="9"/>
  <c r="M160" i="9"/>
  <c r="L160" i="9"/>
  <c r="K160" i="9"/>
  <c r="J160" i="9"/>
  <c r="I160" i="9"/>
  <c r="H160" i="9"/>
  <c r="G160" i="9"/>
  <c r="F160" i="9"/>
  <c r="E160" i="9"/>
  <c r="D160" i="9"/>
  <c r="C160" i="9"/>
  <c r="AZ159" i="9"/>
  <c r="AY159" i="9"/>
  <c r="AX159" i="9"/>
  <c r="AW159" i="9"/>
  <c r="AV159" i="9"/>
  <c r="AU159" i="9"/>
  <c r="AT159" i="9"/>
  <c r="AS159" i="9"/>
  <c r="AR159" i="9"/>
  <c r="AQ159" i="9"/>
  <c r="AP159" i="9"/>
  <c r="AO159" i="9"/>
  <c r="AN159" i="9"/>
  <c r="AM159" i="9"/>
  <c r="AL159" i="9"/>
  <c r="AK159" i="9"/>
  <c r="AJ159" i="9"/>
  <c r="AI159" i="9"/>
  <c r="AH159" i="9"/>
  <c r="AG159" i="9"/>
  <c r="AF159" i="9"/>
  <c r="AE159" i="9"/>
  <c r="AD159" i="9"/>
  <c r="AC159" i="9"/>
  <c r="AB159" i="9"/>
  <c r="AA159" i="9"/>
  <c r="Z159" i="9"/>
  <c r="Y159" i="9"/>
  <c r="X159" i="9"/>
  <c r="W159" i="9"/>
  <c r="V159" i="9"/>
  <c r="U159" i="9"/>
  <c r="T159" i="9"/>
  <c r="S159" i="9"/>
  <c r="R159" i="9"/>
  <c r="Q159" i="9"/>
  <c r="P159" i="9"/>
  <c r="O159" i="9"/>
  <c r="N159" i="9"/>
  <c r="M159" i="9"/>
  <c r="L159" i="9"/>
  <c r="K159" i="9"/>
  <c r="J159" i="9"/>
  <c r="I159" i="9"/>
  <c r="H159" i="9"/>
  <c r="G159" i="9"/>
  <c r="F159" i="9"/>
  <c r="E159" i="9"/>
  <c r="D159" i="9"/>
  <c r="C159" i="9"/>
  <c r="AZ158" i="9"/>
  <c r="AY158" i="9"/>
  <c r="AX158" i="9"/>
  <c r="AW158" i="9"/>
  <c r="AV158" i="9"/>
  <c r="AU158" i="9"/>
  <c r="AT158" i="9"/>
  <c r="AS158" i="9"/>
  <c r="AR158" i="9"/>
  <c r="AQ158" i="9"/>
  <c r="AP158" i="9"/>
  <c r="AO158" i="9"/>
  <c r="AN158" i="9"/>
  <c r="AM158" i="9"/>
  <c r="AL158" i="9"/>
  <c r="AK158" i="9"/>
  <c r="AJ158" i="9"/>
  <c r="AI158" i="9"/>
  <c r="AH158" i="9"/>
  <c r="AG158" i="9"/>
  <c r="AF158" i="9"/>
  <c r="AE158" i="9"/>
  <c r="AD158" i="9"/>
  <c r="AC158" i="9"/>
  <c r="AB158" i="9"/>
  <c r="AA158" i="9"/>
  <c r="Z158" i="9"/>
  <c r="Y158" i="9"/>
  <c r="X158" i="9"/>
  <c r="W158" i="9"/>
  <c r="V158" i="9"/>
  <c r="U158" i="9"/>
  <c r="T158" i="9"/>
  <c r="S158" i="9"/>
  <c r="R158" i="9"/>
  <c r="Q158" i="9"/>
  <c r="P158" i="9"/>
  <c r="O158" i="9"/>
  <c r="N158" i="9"/>
  <c r="M158" i="9"/>
  <c r="L158" i="9"/>
  <c r="K158" i="9"/>
  <c r="J158" i="9"/>
  <c r="I158" i="9"/>
  <c r="H158" i="9"/>
  <c r="G158" i="9"/>
  <c r="F158" i="9"/>
  <c r="E158" i="9"/>
  <c r="D158" i="9"/>
  <c r="C158" i="9"/>
  <c r="AZ157" i="9"/>
  <c r="AY157" i="9"/>
  <c r="AX157" i="9"/>
  <c r="AW157" i="9"/>
  <c r="AV157" i="9"/>
  <c r="AU157" i="9"/>
  <c r="AT157" i="9"/>
  <c r="AS157" i="9"/>
  <c r="AR157" i="9"/>
  <c r="AQ157" i="9"/>
  <c r="AP157" i="9"/>
  <c r="AO157" i="9"/>
  <c r="AN157" i="9"/>
  <c r="AM157" i="9"/>
  <c r="AL157" i="9"/>
  <c r="AK157" i="9"/>
  <c r="AJ157" i="9"/>
  <c r="AI157" i="9"/>
  <c r="AH157" i="9"/>
  <c r="AG157" i="9"/>
  <c r="AF157" i="9"/>
  <c r="AE157" i="9"/>
  <c r="AD157" i="9"/>
  <c r="AC157" i="9"/>
  <c r="AB157" i="9"/>
  <c r="AA157" i="9"/>
  <c r="Z157" i="9"/>
  <c r="Y157" i="9"/>
  <c r="X157" i="9"/>
  <c r="W157" i="9"/>
  <c r="V157" i="9"/>
  <c r="U157" i="9"/>
  <c r="T157" i="9"/>
  <c r="S157" i="9"/>
  <c r="R157" i="9"/>
  <c r="Q157" i="9"/>
  <c r="P157" i="9"/>
  <c r="O157" i="9"/>
  <c r="N157" i="9"/>
  <c r="M157" i="9"/>
  <c r="L157" i="9"/>
  <c r="K157" i="9"/>
  <c r="J157" i="9"/>
  <c r="I157" i="9"/>
  <c r="H157" i="9"/>
  <c r="G157" i="9"/>
  <c r="F157" i="9"/>
  <c r="E157" i="9"/>
  <c r="D157" i="9"/>
  <c r="C157" i="9"/>
  <c r="AZ156" i="9"/>
  <c r="AY156" i="9"/>
  <c r="AX156" i="9"/>
  <c r="AW156" i="9"/>
  <c r="AV156" i="9"/>
  <c r="AU156" i="9"/>
  <c r="AT156" i="9"/>
  <c r="AS156" i="9"/>
  <c r="AR156" i="9"/>
  <c r="AQ156" i="9"/>
  <c r="AP156" i="9"/>
  <c r="AO156" i="9"/>
  <c r="AN156" i="9"/>
  <c r="AM156" i="9"/>
  <c r="AL156" i="9"/>
  <c r="AK156" i="9"/>
  <c r="AJ156" i="9"/>
  <c r="AI156" i="9"/>
  <c r="AH156" i="9"/>
  <c r="AG156" i="9"/>
  <c r="AF156" i="9"/>
  <c r="AE156" i="9"/>
  <c r="AD156" i="9"/>
  <c r="AC156" i="9"/>
  <c r="AB156" i="9"/>
  <c r="AA156" i="9"/>
  <c r="Z156" i="9"/>
  <c r="Y156" i="9"/>
  <c r="X156" i="9"/>
  <c r="W156" i="9"/>
  <c r="V156" i="9"/>
  <c r="U156" i="9"/>
  <c r="T156" i="9"/>
  <c r="S156" i="9"/>
  <c r="R156" i="9"/>
  <c r="Q156" i="9"/>
  <c r="P156" i="9"/>
  <c r="O156" i="9"/>
  <c r="N156" i="9"/>
  <c r="M156" i="9"/>
  <c r="L156" i="9"/>
  <c r="K156" i="9"/>
  <c r="J156" i="9"/>
  <c r="I156" i="9"/>
  <c r="H156" i="9"/>
  <c r="G156" i="9"/>
  <c r="F156" i="9"/>
  <c r="E156" i="9"/>
  <c r="D156" i="9"/>
  <c r="C156" i="9"/>
  <c r="AZ155" i="9"/>
  <c r="AY155" i="9"/>
  <c r="AX155" i="9"/>
  <c r="AW155" i="9"/>
  <c r="AV155" i="9"/>
  <c r="AU155" i="9"/>
  <c r="AT155" i="9"/>
  <c r="AS155" i="9"/>
  <c r="AR155" i="9"/>
  <c r="AQ155" i="9"/>
  <c r="AP155" i="9"/>
  <c r="AO155" i="9"/>
  <c r="AN155" i="9"/>
  <c r="AM155" i="9"/>
  <c r="AL155" i="9"/>
  <c r="AK155" i="9"/>
  <c r="AJ155" i="9"/>
  <c r="AI155" i="9"/>
  <c r="AH155" i="9"/>
  <c r="AG155" i="9"/>
  <c r="AF155" i="9"/>
  <c r="AE155" i="9"/>
  <c r="AD155" i="9"/>
  <c r="AC155" i="9"/>
  <c r="AB155" i="9"/>
  <c r="AA155" i="9"/>
  <c r="Z155" i="9"/>
  <c r="Y155" i="9"/>
  <c r="X155" i="9"/>
  <c r="W155" i="9"/>
  <c r="V155" i="9"/>
  <c r="U155" i="9"/>
  <c r="T155" i="9"/>
  <c r="S155" i="9"/>
  <c r="R155" i="9"/>
  <c r="Q155" i="9"/>
  <c r="P155" i="9"/>
  <c r="O155" i="9"/>
  <c r="N155" i="9"/>
  <c r="M155" i="9"/>
  <c r="L155" i="9"/>
  <c r="K155" i="9"/>
  <c r="J155" i="9"/>
  <c r="I155" i="9"/>
  <c r="H155" i="9"/>
  <c r="G155" i="9"/>
  <c r="F155" i="9"/>
  <c r="E155" i="9"/>
  <c r="D155" i="9"/>
  <c r="C155" i="9"/>
  <c r="AZ154" i="9"/>
  <c r="AY154" i="9"/>
  <c r="AX154" i="9"/>
  <c r="AW154" i="9"/>
  <c r="AV154" i="9"/>
  <c r="AU154" i="9"/>
  <c r="AT154" i="9"/>
  <c r="AS154" i="9"/>
  <c r="AR154" i="9"/>
  <c r="AQ154" i="9"/>
  <c r="AP154" i="9"/>
  <c r="AO154" i="9"/>
  <c r="AN154" i="9"/>
  <c r="AM154" i="9"/>
  <c r="AL154" i="9"/>
  <c r="AK154" i="9"/>
  <c r="AJ154" i="9"/>
  <c r="AI154" i="9"/>
  <c r="AH154" i="9"/>
  <c r="AG154" i="9"/>
  <c r="AF154" i="9"/>
  <c r="AE154" i="9"/>
  <c r="AD154" i="9"/>
  <c r="AC154" i="9"/>
  <c r="AB154" i="9"/>
  <c r="AA154" i="9"/>
  <c r="Z154" i="9"/>
  <c r="Y154" i="9"/>
  <c r="X154" i="9"/>
  <c r="W154" i="9"/>
  <c r="V154" i="9"/>
  <c r="U154" i="9"/>
  <c r="T154" i="9"/>
  <c r="S154" i="9"/>
  <c r="R154" i="9"/>
  <c r="Q154" i="9"/>
  <c r="P154" i="9"/>
  <c r="O154" i="9"/>
  <c r="N154" i="9"/>
  <c r="M154" i="9"/>
  <c r="L154" i="9"/>
  <c r="K154" i="9"/>
  <c r="J154" i="9"/>
  <c r="I154" i="9"/>
  <c r="H154" i="9"/>
  <c r="G154" i="9"/>
  <c r="F154" i="9"/>
  <c r="E154" i="9"/>
  <c r="D154" i="9"/>
  <c r="C154" i="9"/>
  <c r="F150" i="9"/>
  <c r="AZ148" i="9"/>
  <c r="AY148" i="9"/>
  <c r="AX148" i="9"/>
  <c r="AW148" i="9"/>
  <c r="AV148" i="9"/>
  <c r="AU148" i="9"/>
  <c r="AT148" i="9"/>
  <c r="AS148" i="9"/>
  <c r="AR148" i="9"/>
  <c r="AQ148" i="9"/>
  <c r="AP148" i="9"/>
  <c r="AO148" i="9"/>
  <c r="AN148" i="9"/>
  <c r="AM148" i="9"/>
  <c r="AL148" i="9"/>
  <c r="AK148" i="9"/>
  <c r="AJ148" i="9"/>
  <c r="AI148" i="9"/>
  <c r="AH148" i="9"/>
  <c r="AG148" i="9"/>
  <c r="AF148" i="9"/>
  <c r="AE148" i="9"/>
  <c r="AD148" i="9"/>
  <c r="AC148" i="9"/>
  <c r="AB148" i="9"/>
  <c r="AA148" i="9"/>
  <c r="Z148" i="9"/>
  <c r="Y148" i="9"/>
  <c r="X148" i="9"/>
  <c r="W148" i="9"/>
  <c r="V148" i="9"/>
  <c r="U148" i="9"/>
  <c r="T148" i="9"/>
  <c r="S148" i="9"/>
  <c r="R148" i="9"/>
  <c r="Q148" i="9"/>
  <c r="P148" i="9"/>
  <c r="O148" i="9"/>
  <c r="N148" i="9"/>
  <c r="M148" i="9"/>
  <c r="L148" i="9"/>
  <c r="K148" i="9"/>
  <c r="J148" i="9"/>
  <c r="I148" i="9"/>
  <c r="H148" i="9"/>
  <c r="G148" i="9"/>
  <c r="F148" i="9"/>
  <c r="E148" i="9"/>
  <c r="D148" i="9"/>
  <c r="C148" i="9"/>
  <c r="AZ147" i="9"/>
  <c r="AY147" i="9"/>
  <c r="AX147" i="9"/>
  <c r="AW147" i="9"/>
  <c r="AV147" i="9"/>
  <c r="AU147" i="9"/>
  <c r="AT147" i="9"/>
  <c r="AS147" i="9"/>
  <c r="AR147" i="9"/>
  <c r="AQ147" i="9"/>
  <c r="AP147" i="9"/>
  <c r="AO147" i="9"/>
  <c r="AN147" i="9"/>
  <c r="AM147" i="9"/>
  <c r="AL147" i="9"/>
  <c r="AK147" i="9"/>
  <c r="AJ147" i="9"/>
  <c r="AI147" i="9"/>
  <c r="AH147" i="9"/>
  <c r="AG147" i="9"/>
  <c r="AF147" i="9"/>
  <c r="AE147" i="9"/>
  <c r="AD147" i="9"/>
  <c r="AC147" i="9"/>
  <c r="AB147" i="9"/>
  <c r="AA147" i="9"/>
  <c r="Z147" i="9"/>
  <c r="Y147" i="9"/>
  <c r="X147" i="9"/>
  <c r="W147" i="9"/>
  <c r="V147" i="9"/>
  <c r="U147" i="9"/>
  <c r="T147" i="9"/>
  <c r="S147" i="9"/>
  <c r="R147" i="9"/>
  <c r="Q147" i="9"/>
  <c r="P147" i="9"/>
  <c r="O147" i="9"/>
  <c r="N147" i="9"/>
  <c r="M147" i="9"/>
  <c r="L147" i="9"/>
  <c r="K147" i="9"/>
  <c r="J147" i="9"/>
  <c r="I147" i="9"/>
  <c r="H147" i="9"/>
  <c r="G147" i="9"/>
  <c r="F147" i="9"/>
  <c r="E147" i="9"/>
  <c r="D147" i="9"/>
  <c r="C147" i="9"/>
  <c r="AZ146" i="9"/>
  <c r="AY146" i="9"/>
  <c r="AX146" i="9"/>
  <c r="AW146" i="9"/>
  <c r="AV146" i="9"/>
  <c r="AU146" i="9"/>
  <c r="AT146" i="9"/>
  <c r="AS146" i="9"/>
  <c r="AR146" i="9"/>
  <c r="AQ146" i="9"/>
  <c r="AP146" i="9"/>
  <c r="AO146" i="9"/>
  <c r="AN146" i="9"/>
  <c r="AM146" i="9"/>
  <c r="AL146" i="9"/>
  <c r="AK146" i="9"/>
  <c r="AJ146" i="9"/>
  <c r="AI146" i="9"/>
  <c r="AH146" i="9"/>
  <c r="AG146" i="9"/>
  <c r="AF146" i="9"/>
  <c r="AE146" i="9"/>
  <c r="AD146" i="9"/>
  <c r="AC146" i="9"/>
  <c r="AB146" i="9"/>
  <c r="AA146" i="9"/>
  <c r="Z146" i="9"/>
  <c r="Y146" i="9"/>
  <c r="X146" i="9"/>
  <c r="W146" i="9"/>
  <c r="V146" i="9"/>
  <c r="U146" i="9"/>
  <c r="T146" i="9"/>
  <c r="S146" i="9"/>
  <c r="R146" i="9"/>
  <c r="Q146" i="9"/>
  <c r="P146" i="9"/>
  <c r="O146" i="9"/>
  <c r="N146" i="9"/>
  <c r="M146" i="9"/>
  <c r="L146" i="9"/>
  <c r="K146" i="9"/>
  <c r="J146" i="9"/>
  <c r="I146" i="9"/>
  <c r="H146" i="9"/>
  <c r="G146" i="9"/>
  <c r="F146" i="9"/>
  <c r="E146" i="9"/>
  <c r="D146" i="9"/>
  <c r="C146" i="9"/>
  <c r="AZ145" i="9"/>
  <c r="AY145" i="9"/>
  <c r="AX145" i="9"/>
  <c r="AW145" i="9"/>
  <c r="AV145" i="9"/>
  <c r="AU145" i="9"/>
  <c r="AT145" i="9"/>
  <c r="AS145" i="9"/>
  <c r="AR145" i="9"/>
  <c r="AQ145" i="9"/>
  <c r="AP145" i="9"/>
  <c r="AO145" i="9"/>
  <c r="AN145" i="9"/>
  <c r="AM145" i="9"/>
  <c r="AL145" i="9"/>
  <c r="AK145" i="9"/>
  <c r="AJ145" i="9"/>
  <c r="AI145" i="9"/>
  <c r="AH145" i="9"/>
  <c r="AG145" i="9"/>
  <c r="AF145" i="9"/>
  <c r="AE145" i="9"/>
  <c r="AD145" i="9"/>
  <c r="AC145" i="9"/>
  <c r="AB145" i="9"/>
  <c r="AA145" i="9"/>
  <c r="Z145" i="9"/>
  <c r="Y145" i="9"/>
  <c r="X145" i="9"/>
  <c r="W145" i="9"/>
  <c r="V145" i="9"/>
  <c r="U145" i="9"/>
  <c r="T145" i="9"/>
  <c r="S145" i="9"/>
  <c r="R145" i="9"/>
  <c r="Q145" i="9"/>
  <c r="P145" i="9"/>
  <c r="O145" i="9"/>
  <c r="N145" i="9"/>
  <c r="M145" i="9"/>
  <c r="L145" i="9"/>
  <c r="K145" i="9"/>
  <c r="J145" i="9"/>
  <c r="I145" i="9"/>
  <c r="H145" i="9"/>
  <c r="G145" i="9"/>
  <c r="F145" i="9"/>
  <c r="E145" i="9"/>
  <c r="D145" i="9"/>
  <c r="C145" i="9"/>
  <c r="AZ144" i="9"/>
  <c r="AY144" i="9"/>
  <c r="AX144" i="9"/>
  <c r="AW144" i="9"/>
  <c r="AV144" i="9"/>
  <c r="AU144" i="9"/>
  <c r="AT144" i="9"/>
  <c r="AS144" i="9"/>
  <c r="AR144" i="9"/>
  <c r="AQ144" i="9"/>
  <c r="AP144" i="9"/>
  <c r="AO144" i="9"/>
  <c r="AN144" i="9"/>
  <c r="AM144" i="9"/>
  <c r="AL144" i="9"/>
  <c r="AK144" i="9"/>
  <c r="AJ144" i="9"/>
  <c r="AI144" i="9"/>
  <c r="AH144" i="9"/>
  <c r="AG144" i="9"/>
  <c r="AF144" i="9"/>
  <c r="AE144" i="9"/>
  <c r="AD144" i="9"/>
  <c r="AC144" i="9"/>
  <c r="AB144" i="9"/>
  <c r="AA144" i="9"/>
  <c r="Z144" i="9"/>
  <c r="Y144" i="9"/>
  <c r="X144" i="9"/>
  <c r="W144" i="9"/>
  <c r="V144" i="9"/>
  <c r="U144" i="9"/>
  <c r="T144" i="9"/>
  <c r="S144" i="9"/>
  <c r="R144" i="9"/>
  <c r="Q144" i="9"/>
  <c r="P144" i="9"/>
  <c r="O144" i="9"/>
  <c r="N144" i="9"/>
  <c r="M144" i="9"/>
  <c r="L144" i="9"/>
  <c r="K144" i="9"/>
  <c r="J144" i="9"/>
  <c r="I144" i="9"/>
  <c r="H144" i="9"/>
  <c r="G144" i="9"/>
  <c r="F144" i="9"/>
  <c r="E144" i="9"/>
  <c r="D144" i="9"/>
  <c r="C144" i="9"/>
  <c r="AZ143" i="9"/>
  <c r="AY143" i="9"/>
  <c r="AX143" i="9"/>
  <c r="AW143" i="9"/>
  <c r="AV143" i="9"/>
  <c r="AU143" i="9"/>
  <c r="AT143" i="9"/>
  <c r="AS143" i="9"/>
  <c r="AR143" i="9"/>
  <c r="AQ143" i="9"/>
  <c r="AP143" i="9"/>
  <c r="AO143" i="9"/>
  <c r="AN143" i="9"/>
  <c r="AM143" i="9"/>
  <c r="AL143" i="9"/>
  <c r="AK143" i="9"/>
  <c r="AJ143" i="9"/>
  <c r="AI143" i="9"/>
  <c r="AH143" i="9"/>
  <c r="AG143" i="9"/>
  <c r="AF143" i="9"/>
  <c r="AE143" i="9"/>
  <c r="AD143" i="9"/>
  <c r="AC143" i="9"/>
  <c r="AB143" i="9"/>
  <c r="AA143" i="9"/>
  <c r="Z143" i="9"/>
  <c r="Y143" i="9"/>
  <c r="X143" i="9"/>
  <c r="W143" i="9"/>
  <c r="V143" i="9"/>
  <c r="U143" i="9"/>
  <c r="T143" i="9"/>
  <c r="S143" i="9"/>
  <c r="R143" i="9"/>
  <c r="Q143" i="9"/>
  <c r="P143" i="9"/>
  <c r="O143" i="9"/>
  <c r="N143" i="9"/>
  <c r="M143" i="9"/>
  <c r="L143" i="9"/>
  <c r="K143" i="9"/>
  <c r="J143" i="9"/>
  <c r="I143" i="9"/>
  <c r="H143" i="9"/>
  <c r="G143" i="9"/>
  <c r="F143" i="9"/>
  <c r="E143" i="9"/>
  <c r="D143" i="9"/>
  <c r="C143" i="9"/>
  <c r="AZ142" i="9"/>
  <c r="AY142" i="9"/>
  <c r="AX142" i="9"/>
  <c r="AW142" i="9"/>
  <c r="AV142" i="9"/>
  <c r="AU142" i="9"/>
  <c r="AT142" i="9"/>
  <c r="AS142" i="9"/>
  <c r="AR142" i="9"/>
  <c r="AQ142" i="9"/>
  <c r="AP142" i="9"/>
  <c r="AO142" i="9"/>
  <c r="AN142" i="9"/>
  <c r="AM142" i="9"/>
  <c r="AL142" i="9"/>
  <c r="AK142" i="9"/>
  <c r="AJ142" i="9"/>
  <c r="AI142" i="9"/>
  <c r="AH142" i="9"/>
  <c r="AG142" i="9"/>
  <c r="AF142" i="9"/>
  <c r="AE142" i="9"/>
  <c r="AD142" i="9"/>
  <c r="AC142" i="9"/>
  <c r="AB142" i="9"/>
  <c r="AA142" i="9"/>
  <c r="Z142" i="9"/>
  <c r="Y142" i="9"/>
  <c r="X142" i="9"/>
  <c r="W142" i="9"/>
  <c r="V142" i="9"/>
  <c r="U142" i="9"/>
  <c r="T142" i="9"/>
  <c r="S142" i="9"/>
  <c r="R142" i="9"/>
  <c r="Q142" i="9"/>
  <c r="P142" i="9"/>
  <c r="O142" i="9"/>
  <c r="N142" i="9"/>
  <c r="M142" i="9"/>
  <c r="L142" i="9"/>
  <c r="K142" i="9"/>
  <c r="J142" i="9"/>
  <c r="I142" i="9"/>
  <c r="H142" i="9"/>
  <c r="G142" i="9"/>
  <c r="F142" i="9"/>
  <c r="E142" i="9"/>
  <c r="D142" i="9"/>
  <c r="C142" i="9"/>
  <c r="AZ141" i="9"/>
  <c r="AY141" i="9"/>
  <c r="AX141" i="9"/>
  <c r="AW141" i="9"/>
  <c r="AV141" i="9"/>
  <c r="AU141" i="9"/>
  <c r="AT141" i="9"/>
  <c r="AS141" i="9"/>
  <c r="AR141" i="9"/>
  <c r="AQ141" i="9"/>
  <c r="AP141" i="9"/>
  <c r="AO141" i="9"/>
  <c r="AN141" i="9"/>
  <c r="AM141" i="9"/>
  <c r="AL141" i="9"/>
  <c r="AK141" i="9"/>
  <c r="AJ141" i="9"/>
  <c r="AI141" i="9"/>
  <c r="AH141" i="9"/>
  <c r="AG141" i="9"/>
  <c r="AF141" i="9"/>
  <c r="AE141" i="9"/>
  <c r="AD141" i="9"/>
  <c r="AC141" i="9"/>
  <c r="AB141" i="9"/>
  <c r="AA141" i="9"/>
  <c r="Z141" i="9"/>
  <c r="Y141" i="9"/>
  <c r="X141" i="9"/>
  <c r="W141" i="9"/>
  <c r="V141" i="9"/>
  <c r="U141" i="9"/>
  <c r="T141" i="9"/>
  <c r="S141" i="9"/>
  <c r="R141" i="9"/>
  <c r="Q141" i="9"/>
  <c r="P141" i="9"/>
  <c r="O141" i="9"/>
  <c r="N141" i="9"/>
  <c r="M141" i="9"/>
  <c r="L141" i="9"/>
  <c r="K141" i="9"/>
  <c r="J141" i="9"/>
  <c r="I141" i="9"/>
  <c r="H141" i="9"/>
  <c r="G141" i="9"/>
  <c r="F141" i="9"/>
  <c r="E141" i="9"/>
  <c r="D141" i="9"/>
  <c r="C141" i="9"/>
  <c r="AZ140" i="9"/>
  <c r="AY140" i="9"/>
  <c r="AX140" i="9"/>
  <c r="AW140" i="9"/>
  <c r="AV140" i="9"/>
  <c r="AU140" i="9"/>
  <c r="AT140" i="9"/>
  <c r="AS140" i="9"/>
  <c r="AR140" i="9"/>
  <c r="AQ140" i="9"/>
  <c r="AP140" i="9"/>
  <c r="AO140" i="9"/>
  <c r="AN140" i="9"/>
  <c r="AM140" i="9"/>
  <c r="AL140" i="9"/>
  <c r="AK140" i="9"/>
  <c r="AJ140" i="9"/>
  <c r="AI140" i="9"/>
  <c r="AH140" i="9"/>
  <c r="AG140" i="9"/>
  <c r="AF140" i="9"/>
  <c r="AE140" i="9"/>
  <c r="AD140" i="9"/>
  <c r="AC140" i="9"/>
  <c r="AB140" i="9"/>
  <c r="AA140" i="9"/>
  <c r="Z140" i="9"/>
  <c r="Y140" i="9"/>
  <c r="X140" i="9"/>
  <c r="W140" i="9"/>
  <c r="V140" i="9"/>
  <c r="U140" i="9"/>
  <c r="T140" i="9"/>
  <c r="S140" i="9"/>
  <c r="R140" i="9"/>
  <c r="Q140" i="9"/>
  <c r="P140" i="9"/>
  <c r="O140" i="9"/>
  <c r="N140" i="9"/>
  <c r="M140" i="9"/>
  <c r="L140" i="9"/>
  <c r="K140" i="9"/>
  <c r="J140" i="9"/>
  <c r="I140" i="9"/>
  <c r="H140" i="9"/>
  <c r="G140" i="9"/>
  <c r="F140" i="9"/>
  <c r="E140" i="9"/>
  <c r="D140" i="9"/>
  <c r="C140" i="9"/>
  <c r="AZ139" i="9"/>
  <c r="AY139" i="9"/>
  <c r="AX139" i="9"/>
  <c r="AW139" i="9"/>
  <c r="AV139" i="9"/>
  <c r="AU139" i="9"/>
  <c r="AT139" i="9"/>
  <c r="AS139" i="9"/>
  <c r="AR139" i="9"/>
  <c r="AQ139" i="9"/>
  <c r="AP139" i="9"/>
  <c r="AO139" i="9"/>
  <c r="AN139" i="9"/>
  <c r="AM139" i="9"/>
  <c r="AL139" i="9"/>
  <c r="AK139" i="9"/>
  <c r="AJ139" i="9"/>
  <c r="AI139" i="9"/>
  <c r="AH139" i="9"/>
  <c r="AG139" i="9"/>
  <c r="AF139" i="9"/>
  <c r="AE139" i="9"/>
  <c r="AD139" i="9"/>
  <c r="AC139" i="9"/>
  <c r="AB139" i="9"/>
  <c r="AA139" i="9"/>
  <c r="Z139" i="9"/>
  <c r="Y139" i="9"/>
  <c r="X139" i="9"/>
  <c r="W139" i="9"/>
  <c r="V139" i="9"/>
  <c r="U139" i="9"/>
  <c r="T139" i="9"/>
  <c r="S139" i="9"/>
  <c r="R139" i="9"/>
  <c r="Q139" i="9"/>
  <c r="P139" i="9"/>
  <c r="O139" i="9"/>
  <c r="N139" i="9"/>
  <c r="M139" i="9"/>
  <c r="L139" i="9"/>
  <c r="K139" i="9"/>
  <c r="J139" i="9"/>
  <c r="I139" i="9"/>
  <c r="H139" i="9"/>
  <c r="G139" i="9"/>
  <c r="F139" i="9"/>
  <c r="E139" i="9"/>
  <c r="D139" i="9"/>
  <c r="C139" i="9"/>
  <c r="AZ138" i="9"/>
  <c r="AY138" i="9"/>
  <c r="AX138" i="9"/>
  <c r="AW138" i="9"/>
  <c r="AV138" i="9"/>
  <c r="AU138" i="9"/>
  <c r="AT138" i="9"/>
  <c r="AS138" i="9"/>
  <c r="AR138" i="9"/>
  <c r="AQ138" i="9"/>
  <c r="AP138" i="9"/>
  <c r="AO138" i="9"/>
  <c r="AN138" i="9"/>
  <c r="AM138" i="9"/>
  <c r="AL138" i="9"/>
  <c r="AK138" i="9"/>
  <c r="AJ138" i="9"/>
  <c r="AI138" i="9"/>
  <c r="AH138" i="9"/>
  <c r="AG138" i="9"/>
  <c r="AF138" i="9"/>
  <c r="AE138" i="9"/>
  <c r="AD138" i="9"/>
  <c r="AC138" i="9"/>
  <c r="AB138" i="9"/>
  <c r="AA138" i="9"/>
  <c r="Z138" i="9"/>
  <c r="Y138" i="9"/>
  <c r="X138" i="9"/>
  <c r="W138" i="9"/>
  <c r="V138" i="9"/>
  <c r="U138" i="9"/>
  <c r="T138" i="9"/>
  <c r="S138" i="9"/>
  <c r="R138" i="9"/>
  <c r="Q138" i="9"/>
  <c r="P138" i="9"/>
  <c r="O138" i="9"/>
  <c r="N138" i="9"/>
  <c r="M138" i="9"/>
  <c r="L138" i="9"/>
  <c r="K138" i="9"/>
  <c r="J138" i="9"/>
  <c r="I138" i="9"/>
  <c r="H138" i="9"/>
  <c r="G138" i="9"/>
  <c r="F138" i="9"/>
  <c r="E138" i="9"/>
  <c r="D138" i="9"/>
  <c r="C138" i="9"/>
  <c r="AZ137" i="9"/>
  <c r="AY137" i="9"/>
  <c r="AX137" i="9"/>
  <c r="AW137" i="9"/>
  <c r="AV137" i="9"/>
  <c r="AU137" i="9"/>
  <c r="AT137" i="9"/>
  <c r="AS137" i="9"/>
  <c r="AR137" i="9"/>
  <c r="AQ137" i="9"/>
  <c r="AP137" i="9"/>
  <c r="AO137" i="9"/>
  <c r="AN137" i="9"/>
  <c r="AM137" i="9"/>
  <c r="AL137" i="9"/>
  <c r="AK137" i="9"/>
  <c r="AJ137" i="9"/>
  <c r="AI137" i="9"/>
  <c r="AH137" i="9"/>
  <c r="AG137" i="9"/>
  <c r="AF137" i="9"/>
  <c r="AE137" i="9"/>
  <c r="AD137" i="9"/>
  <c r="AC137" i="9"/>
  <c r="AB137" i="9"/>
  <c r="AA137" i="9"/>
  <c r="Z137" i="9"/>
  <c r="Y137" i="9"/>
  <c r="X137" i="9"/>
  <c r="W137" i="9"/>
  <c r="V137" i="9"/>
  <c r="U137" i="9"/>
  <c r="T137" i="9"/>
  <c r="S137" i="9"/>
  <c r="R137" i="9"/>
  <c r="Q137" i="9"/>
  <c r="P137" i="9"/>
  <c r="O137" i="9"/>
  <c r="N137" i="9"/>
  <c r="M137" i="9"/>
  <c r="L137" i="9"/>
  <c r="K137" i="9"/>
  <c r="J137" i="9"/>
  <c r="I137" i="9"/>
  <c r="H137" i="9"/>
  <c r="G137" i="9"/>
  <c r="F137" i="9"/>
  <c r="E137" i="9"/>
  <c r="D137" i="9"/>
  <c r="C137" i="9"/>
  <c r="AZ136" i="9"/>
  <c r="AY136" i="9"/>
  <c r="AX136" i="9"/>
  <c r="AW136" i="9"/>
  <c r="AV136" i="9"/>
  <c r="AU136" i="9"/>
  <c r="AT136" i="9"/>
  <c r="AS136" i="9"/>
  <c r="AR136" i="9"/>
  <c r="AQ136" i="9"/>
  <c r="AP136" i="9"/>
  <c r="AO136" i="9"/>
  <c r="AN136" i="9"/>
  <c r="AM136" i="9"/>
  <c r="AL136" i="9"/>
  <c r="AK136" i="9"/>
  <c r="AJ136" i="9"/>
  <c r="AI136" i="9"/>
  <c r="AH136" i="9"/>
  <c r="AG136" i="9"/>
  <c r="AF136" i="9"/>
  <c r="AE136" i="9"/>
  <c r="AD136" i="9"/>
  <c r="AC136" i="9"/>
  <c r="AB136" i="9"/>
  <c r="AA136" i="9"/>
  <c r="Z136" i="9"/>
  <c r="Y136" i="9"/>
  <c r="X136" i="9"/>
  <c r="W136" i="9"/>
  <c r="V136" i="9"/>
  <c r="U136" i="9"/>
  <c r="T136" i="9"/>
  <c r="S136" i="9"/>
  <c r="R136" i="9"/>
  <c r="Q136" i="9"/>
  <c r="P136" i="9"/>
  <c r="O136" i="9"/>
  <c r="N136" i="9"/>
  <c r="M136" i="9"/>
  <c r="L136" i="9"/>
  <c r="K136" i="9"/>
  <c r="J136" i="9"/>
  <c r="I136" i="9"/>
  <c r="H136" i="9"/>
  <c r="G136" i="9"/>
  <c r="F136" i="9"/>
  <c r="E136" i="9"/>
  <c r="D136" i="9"/>
  <c r="C136" i="9"/>
  <c r="AZ135" i="9"/>
  <c r="AY135" i="9"/>
  <c r="AX135" i="9"/>
  <c r="AW135" i="9"/>
  <c r="AV135" i="9"/>
  <c r="AU135" i="9"/>
  <c r="AT135" i="9"/>
  <c r="AS135" i="9"/>
  <c r="AR135" i="9"/>
  <c r="AQ135" i="9"/>
  <c r="AP135" i="9"/>
  <c r="AO135" i="9"/>
  <c r="AN135" i="9"/>
  <c r="AM135" i="9"/>
  <c r="AL135" i="9"/>
  <c r="AK135" i="9"/>
  <c r="AJ135" i="9"/>
  <c r="AI135" i="9"/>
  <c r="AH135" i="9"/>
  <c r="AG135" i="9"/>
  <c r="AF135" i="9"/>
  <c r="AE135" i="9"/>
  <c r="AD135" i="9"/>
  <c r="AC135" i="9"/>
  <c r="AB135" i="9"/>
  <c r="AA135" i="9"/>
  <c r="Z135" i="9"/>
  <c r="Y135" i="9"/>
  <c r="X135" i="9"/>
  <c r="W135" i="9"/>
  <c r="V135" i="9"/>
  <c r="U135" i="9"/>
  <c r="T135" i="9"/>
  <c r="S135" i="9"/>
  <c r="R135" i="9"/>
  <c r="Q135" i="9"/>
  <c r="P135" i="9"/>
  <c r="O135" i="9"/>
  <c r="N135" i="9"/>
  <c r="M135" i="9"/>
  <c r="L135" i="9"/>
  <c r="K135" i="9"/>
  <c r="J135" i="9"/>
  <c r="I135" i="9"/>
  <c r="H135" i="9"/>
  <c r="G135" i="9"/>
  <c r="F135" i="9"/>
  <c r="E135" i="9"/>
  <c r="D135" i="9"/>
  <c r="C135" i="9"/>
  <c r="AZ134" i="9"/>
  <c r="AY134" i="9"/>
  <c r="AX134" i="9"/>
  <c r="AW134" i="9"/>
  <c r="AV134" i="9"/>
  <c r="AU134" i="9"/>
  <c r="AT134" i="9"/>
  <c r="AS134" i="9"/>
  <c r="AR134" i="9"/>
  <c r="AQ134" i="9"/>
  <c r="AP134" i="9"/>
  <c r="AO134" i="9"/>
  <c r="AN134" i="9"/>
  <c r="AM134" i="9"/>
  <c r="AL134" i="9"/>
  <c r="AK134" i="9"/>
  <c r="AJ134" i="9"/>
  <c r="AI134" i="9"/>
  <c r="AH134" i="9"/>
  <c r="AG134" i="9"/>
  <c r="AF134" i="9"/>
  <c r="AE134" i="9"/>
  <c r="AD134" i="9"/>
  <c r="AC134" i="9"/>
  <c r="AB134" i="9"/>
  <c r="AA134" i="9"/>
  <c r="Z134" i="9"/>
  <c r="Y134" i="9"/>
  <c r="X134" i="9"/>
  <c r="W134" i="9"/>
  <c r="V134" i="9"/>
  <c r="U134" i="9"/>
  <c r="T134" i="9"/>
  <c r="S134" i="9"/>
  <c r="R134" i="9"/>
  <c r="Q134" i="9"/>
  <c r="P134" i="9"/>
  <c r="O134" i="9"/>
  <c r="N134" i="9"/>
  <c r="M134" i="9"/>
  <c r="L134" i="9"/>
  <c r="K134" i="9"/>
  <c r="J134" i="9"/>
  <c r="I134" i="9"/>
  <c r="H134" i="9"/>
  <c r="G134" i="9"/>
  <c r="F134" i="9"/>
  <c r="E134" i="9"/>
  <c r="D134" i="9"/>
  <c r="C134" i="9"/>
  <c r="AZ133" i="9"/>
  <c r="AY133" i="9"/>
  <c r="AX133" i="9"/>
  <c r="AW133" i="9"/>
  <c r="AV133" i="9"/>
  <c r="AU133" i="9"/>
  <c r="AT133" i="9"/>
  <c r="AS133" i="9"/>
  <c r="AR133" i="9"/>
  <c r="AQ133" i="9"/>
  <c r="AP133" i="9"/>
  <c r="AO133" i="9"/>
  <c r="AN133" i="9"/>
  <c r="AM133" i="9"/>
  <c r="AL133" i="9"/>
  <c r="AK133" i="9"/>
  <c r="AJ133" i="9"/>
  <c r="AI133" i="9"/>
  <c r="AH133" i="9"/>
  <c r="AG133" i="9"/>
  <c r="AF133" i="9"/>
  <c r="AE133" i="9"/>
  <c r="AD133" i="9"/>
  <c r="AC133" i="9"/>
  <c r="AB133" i="9"/>
  <c r="AA133" i="9"/>
  <c r="Z133" i="9"/>
  <c r="Y133" i="9"/>
  <c r="X133" i="9"/>
  <c r="W133" i="9"/>
  <c r="V133" i="9"/>
  <c r="U133" i="9"/>
  <c r="T133" i="9"/>
  <c r="S133" i="9"/>
  <c r="R133" i="9"/>
  <c r="Q133" i="9"/>
  <c r="P133" i="9"/>
  <c r="O133" i="9"/>
  <c r="N133" i="9"/>
  <c r="M133" i="9"/>
  <c r="L133" i="9"/>
  <c r="K133" i="9"/>
  <c r="J133" i="9"/>
  <c r="I133" i="9"/>
  <c r="H133" i="9"/>
  <c r="G133" i="9"/>
  <c r="F133" i="9"/>
  <c r="E133" i="9"/>
  <c r="D133" i="9"/>
  <c r="C133" i="9"/>
  <c r="AZ132" i="9"/>
  <c r="AY132" i="9"/>
  <c r="AX132" i="9"/>
  <c r="AW132" i="9"/>
  <c r="AV132" i="9"/>
  <c r="AU132" i="9"/>
  <c r="AT132" i="9"/>
  <c r="AS132" i="9"/>
  <c r="AR132" i="9"/>
  <c r="AQ132" i="9"/>
  <c r="AP132" i="9"/>
  <c r="AO132" i="9"/>
  <c r="AN132" i="9"/>
  <c r="AM132" i="9"/>
  <c r="AL132" i="9"/>
  <c r="AK132" i="9"/>
  <c r="AJ132" i="9"/>
  <c r="AI132" i="9"/>
  <c r="AH132" i="9"/>
  <c r="AG132" i="9"/>
  <c r="AF132" i="9"/>
  <c r="AE132" i="9"/>
  <c r="AD132" i="9"/>
  <c r="AC132" i="9"/>
  <c r="AB132" i="9"/>
  <c r="AA132" i="9"/>
  <c r="Z132" i="9"/>
  <c r="Y132" i="9"/>
  <c r="X132" i="9"/>
  <c r="W132" i="9"/>
  <c r="V132" i="9"/>
  <c r="U132" i="9"/>
  <c r="T132" i="9"/>
  <c r="S132" i="9"/>
  <c r="R132" i="9"/>
  <c r="Q132" i="9"/>
  <c r="P132" i="9"/>
  <c r="O132" i="9"/>
  <c r="N132" i="9"/>
  <c r="M132" i="9"/>
  <c r="L132" i="9"/>
  <c r="K132" i="9"/>
  <c r="J132" i="9"/>
  <c r="I132" i="9"/>
  <c r="H132" i="9"/>
  <c r="G132" i="9"/>
  <c r="F132" i="9"/>
  <c r="E132" i="9"/>
  <c r="D132" i="9"/>
  <c r="C132" i="9"/>
  <c r="AZ131" i="9"/>
  <c r="AY131" i="9"/>
  <c r="AX131" i="9"/>
  <c r="AW131" i="9"/>
  <c r="AV131" i="9"/>
  <c r="AU131" i="9"/>
  <c r="AT131" i="9"/>
  <c r="AS131" i="9"/>
  <c r="AR131" i="9"/>
  <c r="AQ131" i="9"/>
  <c r="AP131" i="9"/>
  <c r="AO131" i="9"/>
  <c r="AN131" i="9"/>
  <c r="AM131" i="9"/>
  <c r="AL131" i="9"/>
  <c r="AK131" i="9"/>
  <c r="AJ131" i="9"/>
  <c r="AI131" i="9"/>
  <c r="AH131" i="9"/>
  <c r="AG131" i="9"/>
  <c r="AF131" i="9"/>
  <c r="AE131" i="9"/>
  <c r="AD131" i="9"/>
  <c r="AC131" i="9"/>
  <c r="AB131" i="9"/>
  <c r="AA131" i="9"/>
  <c r="Z131" i="9"/>
  <c r="Y131" i="9"/>
  <c r="X131" i="9"/>
  <c r="W131" i="9"/>
  <c r="V131" i="9"/>
  <c r="U131" i="9"/>
  <c r="T131" i="9"/>
  <c r="S131" i="9"/>
  <c r="R131" i="9"/>
  <c r="Q131" i="9"/>
  <c r="P131" i="9"/>
  <c r="O131" i="9"/>
  <c r="N131" i="9"/>
  <c r="M131" i="9"/>
  <c r="L131" i="9"/>
  <c r="K131" i="9"/>
  <c r="J131" i="9"/>
  <c r="I131" i="9"/>
  <c r="H131" i="9"/>
  <c r="G131" i="9"/>
  <c r="F131" i="9"/>
  <c r="E131" i="9"/>
  <c r="D131" i="9"/>
  <c r="C131" i="9"/>
  <c r="AZ130" i="9"/>
  <c r="AY130" i="9"/>
  <c r="AX130" i="9"/>
  <c r="AW130" i="9"/>
  <c r="AV130" i="9"/>
  <c r="AU130" i="9"/>
  <c r="AT130" i="9"/>
  <c r="AS130" i="9"/>
  <c r="AR130" i="9"/>
  <c r="AQ130" i="9"/>
  <c r="AP130" i="9"/>
  <c r="AO130" i="9"/>
  <c r="AN130" i="9"/>
  <c r="AM130" i="9"/>
  <c r="AL130" i="9"/>
  <c r="AK130" i="9"/>
  <c r="AJ130" i="9"/>
  <c r="AI130" i="9"/>
  <c r="AH130" i="9"/>
  <c r="AG130" i="9"/>
  <c r="AF130" i="9"/>
  <c r="AE130" i="9"/>
  <c r="AD130" i="9"/>
  <c r="AC130" i="9"/>
  <c r="AB130" i="9"/>
  <c r="AA130" i="9"/>
  <c r="Z130" i="9"/>
  <c r="Y130" i="9"/>
  <c r="X130" i="9"/>
  <c r="W130" i="9"/>
  <c r="V130" i="9"/>
  <c r="U130" i="9"/>
  <c r="T130" i="9"/>
  <c r="S130" i="9"/>
  <c r="R130" i="9"/>
  <c r="Q130" i="9"/>
  <c r="P130" i="9"/>
  <c r="O130" i="9"/>
  <c r="N130" i="9"/>
  <c r="M130" i="9"/>
  <c r="L130" i="9"/>
  <c r="K130" i="9"/>
  <c r="J130" i="9"/>
  <c r="I130" i="9"/>
  <c r="H130" i="9"/>
  <c r="G130" i="9"/>
  <c r="F130" i="9"/>
  <c r="E130" i="9"/>
  <c r="D130" i="9"/>
  <c r="C130" i="9"/>
  <c r="AZ129" i="9"/>
  <c r="AY129" i="9"/>
  <c r="AX129" i="9"/>
  <c r="AW129" i="9"/>
  <c r="AV129" i="9"/>
  <c r="AU129" i="9"/>
  <c r="AT129" i="9"/>
  <c r="AS129" i="9"/>
  <c r="AR129" i="9"/>
  <c r="AQ129" i="9"/>
  <c r="AP129" i="9"/>
  <c r="AO129" i="9"/>
  <c r="AN129" i="9"/>
  <c r="AM129" i="9"/>
  <c r="AL129" i="9"/>
  <c r="AK129" i="9"/>
  <c r="AJ129" i="9"/>
  <c r="AI129" i="9"/>
  <c r="AH129" i="9"/>
  <c r="AG129" i="9"/>
  <c r="AF129" i="9"/>
  <c r="AE129" i="9"/>
  <c r="AD129" i="9"/>
  <c r="AC129" i="9"/>
  <c r="AB129" i="9"/>
  <c r="AA129" i="9"/>
  <c r="Z129" i="9"/>
  <c r="Y129" i="9"/>
  <c r="X129" i="9"/>
  <c r="W129" i="9"/>
  <c r="V129" i="9"/>
  <c r="U129" i="9"/>
  <c r="T129" i="9"/>
  <c r="S129" i="9"/>
  <c r="R129" i="9"/>
  <c r="Q129" i="9"/>
  <c r="P129" i="9"/>
  <c r="O129" i="9"/>
  <c r="N129" i="9"/>
  <c r="M129" i="9"/>
  <c r="L129" i="9"/>
  <c r="K129" i="9"/>
  <c r="J129" i="9"/>
  <c r="I129" i="9"/>
  <c r="H129" i="9"/>
  <c r="G129" i="9"/>
  <c r="F129" i="9"/>
  <c r="E129" i="9"/>
  <c r="D129" i="9"/>
  <c r="C129" i="9"/>
  <c r="AZ128" i="9"/>
  <c r="AY128" i="9"/>
  <c r="AX128" i="9"/>
  <c r="AW128" i="9"/>
  <c r="AV128" i="9"/>
  <c r="AU128" i="9"/>
  <c r="AT128" i="9"/>
  <c r="AS128" i="9"/>
  <c r="AR128" i="9"/>
  <c r="AQ128" i="9"/>
  <c r="AP128" i="9"/>
  <c r="AO128" i="9"/>
  <c r="AN128" i="9"/>
  <c r="AM128" i="9"/>
  <c r="AL128" i="9"/>
  <c r="AK128" i="9"/>
  <c r="AJ128" i="9"/>
  <c r="AI128" i="9"/>
  <c r="AH128" i="9"/>
  <c r="AG128" i="9"/>
  <c r="AF128" i="9"/>
  <c r="AE128" i="9"/>
  <c r="AD128" i="9"/>
  <c r="AC128" i="9"/>
  <c r="AB128" i="9"/>
  <c r="AA128" i="9"/>
  <c r="Z128" i="9"/>
  <c r="Y128" i="9"/>
  <c r="X128" i="9"/>
  <c r="W128" i="9"/>
  <c r="V128" i="9"/>
  <c r="U128" i="9"/>
  <c r="T128" i="9"/>
  <c r="S128" i="9"/>
  <c r="R128" i="9"/>
  <c r="Q128" i="9"/>
  <c r="P128" i="9"/>
  <c r="O128" i="9"/>
  <c r="N128" i="9"/>
  <c r="M128" i="9"/>
  <c r="L128" i="9"/>
  <c r="K128" i="9"/>
  <c r="J128" i="9"/>
  <c r="I128" i="9"/>
  <c r="H128" i="9"/>
  <c r="G128" i="9"/>
  <c r="F128" i="9"/>
  <c r="E128" i="9"/>
  <c r="D128" i="9"/>
  <c r="C128" i="9"/>
  <c r="AZ127" i="9"/>
  <c r="AY127" i="9"/>
  <c r="AX127" i="9"/>
  <c r="AW127" i="9"/>
  <c r="AV127" i="9"/>
  <c r="AU127" i="9"/>
  <c r="AT127" i="9"/>
  <c r="AS127" i="9"/>
  <c r="AR127" i="9"/>
  <c r="AQ127" i="9"/>
  <c r="AP127" i="9"/>
  <c r="AO127" i="9"/>
  <c r="AN127" i="9"/>
  <c r="AM127" i="9"/>
  <c r="AL127" i="9"/>
  <c r="AK127" i="9"/>
  <c r="AJ127" i="9"/>
  <c r="AI127" i="9"/>
  <c r="AH127" i="9"/>
  <c r="AG127" i="9"/>
  <c r="AF127" i="9"/>
  <c r="AE127" i="9"/>
  <c r="AD127" i="9"/>
  <c r="AC127" i="9"/>
  <c r="AB127" i="9"/>
  <c r="AA127" i="9"/>
  <c r="Z127" i="9"/>
  <c r="Y127" i="9"/>
  <c r="X127" i="9"/>
  <c r="W127" i="9"/>
  <c r="V127" i="9"/>
  <c r="U127" i="9"/>
  <c r="T127" i="9"/>
  <c r="S127" i="9"/>
  <c r="R127" i="9"/>
  <c r="Q127" i="9"/>
  <c r="P127" i="9"/>
  <c r="O127" i="9"/>
  <c r="N127" i="9"/>
  <c r="M127" i="9"/>
  <c r="L127" i="9"/>
  <c r="K127" i="9"/>
  <c r="J127" i="9"/>
  <c r="I127" i="9"/>
  <c r="H127" i="9"/>
  <c r="G127" i="9"/>
  <c r="F127" i="9"/>
  <c r="E127" i="9"/>
  <c r="D127" i="9"/>
  <c r="C127" i="9"/>
  <c r="AZ126" i="9"/>
  <c r="AY126" i="9"/>
  <c r="AX126" i="9"/>
  <c r="AW126" i="9"/>
  <c r="AV126" i="9"/>
  <c r="AU126" i="9"/>
  <c r="AT126" i="9"/>
  <c r="AS126" i="9"/>
  <c r="AR126" i="9"/>
  <c r="AQ126" i="9"/>
  <c r="AP126" i="9"/>
  <c r="AO126" i="9"/>
  <c r="AN126" i="9"/>
  <c r="AM126" i="9"/>
  <c r="AL126" i="9"/>
  <c r="AK126" i="9"/>
  <c r="AJ126" i="9"/>
  <c r="AI126" i="9"/>
  <c r="AH126" i="9"/>
  <c r="AG126" i="9"/>
  <c r="AF126" i="9"/>
  <c r="AE126" i="9"/>
  <c r="AD126" i="9"/>
  <c r="AC126" i="9"/>
  <c r="AB126" i="9"/>
  <c r="AA126" i="9"/>
  <c r="Z126" i="9"/>
  <c r="Y126" i="9"/>
  <c r="X126" i="9"/>
  <c r="W126" i="9"/>
  <c r="V126" i="9"/>
  <c r="U126" i="9"/>
  <c r="T126" i="9"/>
  <c r="S126" i="9"/>
  <c r="R126" i="9"/>
  <c r="Q126" i="9"/>
  <c r="P126" i="9"/>
  <c r="O126" i="9"/>
  <c r="N126" i="9"/>
  <c r="M126" i="9"/>
  <c r="L126" i="9"/>
  <c r="K126" i="9"/>
  <c r="J126" i="9"/>
  <c r="I126" i="9"/>
  <c r="H126" i="9"/>
  <c r="G126" i="9"/>
  <c r="F126" i="9"/>
  <c r="E126" i="9"/>
  <c r="D126" i="9"/>
  <c r="C126" i="9"/>
  <c r="AZ125" i="9"/>
  <c r="AY125" i="9"/>
  <c r="AX125" i="9"/>
  <c r="AW125" i="9"/>
  <c r="AV125" i="9"/>
  <c r="AU125" i="9"/>
  <c r="AT125" i="9"/>
  <c r="AS125" i="9"/>
  <c r="AR125" i="9"/>
  <c r="AQ125" i="9"/>
  <c r="AP125" i="9"/>
  <c r="AO125" i="9"/>
  <c r="AN125" i="9"/>
  <c r="AM125" i="9"/>
  <c r="AL125" i="9"/>
  <c r="AK125" i="9"/>
  <c r="AJ125" i="9"/>
  <c r="AI125" i="9"/>
  <c r="AH125" i="9"/>
  <c r="AG125" i="9"/>
  <c r="AF125" i="9"/>
  <c r="AE125" i="9"/>
  <c r="AD125" i="9"/>
  <c r="AC125" i="9"/>
  <c r="AB125" i="9"/>
  <c r="AA125" i="9"/>
  <c r="Z125" i="9"/>
  <c r="Y125" i="9"/>
  <c r="X125" i="9"/>
  <c r="W125" i="9"/>
  <c r="V125" i="9"/>
  <c r="U125" i="9"/>
  <c r="T125" i="9"/>
  <c r="S125" i="9"/>
  <c r="R125" i="9"/>
  <c r="Q125" i="9"/>
  <c r="P125" i="9"/>
  <c r="O125" i="9"/>
  <c r="N125" i="9"/>
  <c r="M125" i="9"/>
  <c r="L125" i="9"/>
  <c r="K125" i="9"/>
  <c r="J125" i="9"/>
  <c r="I125" i="9"/>
  <c r="H125" i="9"/>
  <c r="G125" i="9"/>
  <c r="F125" i="9"/>
  <c r="E125" i="9"/>
  <c r="D125" i="9"/>
  <c r="C125" i="9"/>
  <c r="AZ124" i="9"/>
  <c r="AY124" i="9"/>
  <c r="AX124" i="9"/>
  <c r="AW124" i="9"/>
  <c r="AV124" i="9"/>
  <c r="AU124" i="9"/>
  <c r="AT124" i="9"/>
  <c r="AS124" i="9"/>
  <c r="AR124" i="9"/>
  <c r="AQ124" i="9"/>
  <c r="AP124" i="9"/>
  <c r="AO124" i="9"/>
  <c r="AN124" i="9"/>
  <c r="AM124" i="9"/>
  <c r="AL124" i="9"/>
  <c r="AK124" i="9"/>
  <c r="AJ124" i="9"/>
  <c r="AI124" i="9"/>
  <c r="AH124" i="9"/>
  <c r="AG124" i="9"/>
  <c r="AF124" i="9"/>
  <c r="AE124" i="9"/>
  <c r="AD124" i="9"/>
  <c r="AC124" i="9"/>
  <c r="AB124" i="9"/>
  <c r="AA124" i="9"/>
  <c r="Z124" i="9"/>
  <c r="Y124" i="9"/>
  <c r="X124" i="9"/>
  <c r="W124" i="9"/>
  <c r="V124" i="9"/>
  <c r="U124" i="9"/>
  <c r="T124" i="9"/>
  <c r="S124" i="9"/>
  <c r="R124" i="9"/>
  <c r="Q124" i="9"/>
  <c r="P124" i="9"/>
  <c r="O124" i="9"/>
  <c r="N124" i="9"/>
  <c r="M124" i="9"/>
  <c r="L124" i="9"/>
  <c r="K124" i="9"/>
  <c r="J124" i="9"/>
  <c r="I124" i="9"/>
  <c r="H124" i="9"/>
  <c r="G124" i="9"/>
  <c r="F124" i="9"/>
  <c r="E124" i="9"/>
  <c r="D124" i="9"/>
  <c r="C124" i="9"/>
  <c r="AZ123" i="9"/>
  <c r="AY123" i="9"/>
  <c r="AX123" i="9"/>
  <c r="AW123" i="9"/>
  <c r="AV123" i="9"/>
  <c r="AU123" i="9"/>
  <c r="AT123" i="9"/>
  <c r="AS123" i="9"/>
  <c r="AR123" i="9"/>
  <c r="AQ123" i="9"/>
  <c r="AP123" i="9"/>
  <c r="AO123" i="9"/>
  <c r="AN123" i="9"/>
  <c r="AM123" i="9"/>
  <c r="AL123" i="9"/>
  <c r="AK123" i="9"/>
  <c r="AJ123" i="9"/>
  <c r="AI123" i="9"/>
  <c r="AH123" i="9"/>
  <c r="AG123" i="9"/>
  <c r="AF123" i="9"/>
  <c r="AE123" i="9"/>
  <c r="AD123" i="9"/>
  <c r="AC123" i="9"/>
  <c r="AB123" i="9"/>
  <c r="AA123" i="9"/>
  <c r="Z123" i="9"/>
  <c r="Y123" i="9"/>
  <c r="X123" i="9"/>
  <c r="W123" i="9"/>
  <c r="V123" i="9"/>
  <c r="U123" i="9"/>
  <c r="T123" i="9"/>
  <c r="S123" i="9"/>
  <c r="R123" i="9"/>
  <c r="Q123" i="9"/>
  <c r="P123" i="9"/>
  <c r="O123" i="9"/>
  <c r="N123" i="9"/>
  <c r="M123" i="9"/>
  <c r="L123" i="9"/>
  <c r="K123" i="9"/>
  <c r="J123" i="9"/>
  <c r="I123" i="9"/>
  <c r="H123" i="9"/>
  <c r="G123" i="9"/>
  <c r="F123" i="9"/>
  <c r="E123" i="9"/>
  <c r="D123" i="9"/>
  <c r="C123" i="9"/>
  <c r="AZ122" i="9"/>
  <c r="AY122" i="9"/>
  <c r="AX122" i="9"/>
  <c r="AW122" i="9"/>
  <c r="AV122" i="9"/>
  <c r="AU122" i="9"/>
  <c r="AT122" i="9"/>
  <c r="AS122" i="9"/>
  <c r="AR122" i="9"/>
  <c r="AQ122" i="9"/>
  <c r="AP122" i="9"/>
  <c r="AO122" i="9"/>
  <c r="AN122" i="9"/>
  <c r="AM122" i="9"/>
  <c r="AL122" i="9"/>
  <c r="AK122" i="9"/>
  <c r="AJ122" i="9"/>
  <c r="AI122" i="9"/>
  <c r="AH122" i="9"/>
  <c r="AG122" i="9"/>
  <c r="AF122" i="9"/>
  <c r="AE122" i="9"/>
  <c r="AD122" i="9"/>
  <c r="AC122" i="9"/>
  <c r="AB122" i="9"/>
  <c r="AA122" i="9"/>
  <c r="Z122" i="9"/>
  <c r="Y122" i="9"/>
  <c r="X122" i="9"/>
  <c r="W122" i="9"/>
  <c r="V122" i="9"/>
  <c r="U122" i="9"/>
  <c r="T122" i="9"/>
  <c r="S122" i="9"/>
  <c r="R122" i="9"/>
  <c r="Q122" i="9"/>
  <c r="P122" i="9"/>
  <c r="O122" i="9"/>
  <c r="N122" i="9"/>
  <c r="M122" i="9"/>
  <c r="L122" i="9"/>
  <c r="K122" i="9"/>
  <c r="J122" i="9"/>
  <c r="I122" i="9"/>
  <c r="H122" i="9"/>
  <c r="G122" i="9"/>
  <c r="F122" i="9"/>
  <c r="E122" i="9"/>
  <c r="D122" i="9"/>
  <c r="C122" i="9"/>
  <c r="AZ121" i="9"/>
  <c r="AY121" i="9"/>
  <c r="AX121" i="9"/>
  <c r="AW121" i="9"/>
  <c r="AV121" i="9"/>
  <c r="AU121" i="9"/>
  <c r="AT121" i="9"/>
  <c r="AS121" i="9"/>
  <c r="AR121" i="9"/>
  <c r="AQ121" i="9"/>
  <c r="AP121" i="9"/>
  <c r="AO121" i="9"/>
  <c r="AN121" i="9"/>
  <c r="AM121" i="9"/>
  <c r="AL121" i="9"/>
  <c r="AK121" i="9"/>
  <c r="AJ121" i="9"/>
  <c r="AI121" i="9"/>
  <c r="AH121" i="9"/>
  <c r="AG121" i="9"/>
  <c r="AF121" i="9"/>
  <c r="AE121" i="9"/>
  <c r="AD121" i="9"/>
  <c r="AC121" i="9"/>
  <c r="AB121" i="9"/>
  <c r="AA121" i="9"/>
  <c r="Z121" i="9"/>
  <c r="Y121" i="9"/>
  <c r="X121" i="9"/>
  <c r="W121" i="9"/>
  <c r="V121" i="9"/>
  <c r="U121" i="9"/>
  <c r="T121" i="9"/>
  <c r="S121" i="9"/>
  <c r="R121" i="9"/>
  <c r="Q121" i="9"/>
  <c r="P121" i="9"/>
  <c r="O121" i="9"/>
  <c r="N121" i="9"/>
  <c r="M121" i="9"/>
  <c r="L121" i="9"/>
  <c r="K121" i="9"/>
  <c r="J121" i="9"/>
  <c r="I121" i="9"/>
  <c r="H121" i="9"/>
  <c r="G121" i="9"/>
  <c r="F121" i="9"/>
  <c r="E121" i="9"/>
  <c r="D121" i="9"/>
  <c r="C121" i="9"/>
  <c r="AZ120" i="9"/>
  <c r="AY120" i="9"/>
  <c r="AX120" i="9"/>
  <c r="AW120" i="9"/>
  <c r="AV120" i="9"/>
  <c r="AU120" i="9"/>
  <c r="AT120" i="9"/>
  <c r="AS120" i="9"/>
  <c r="AR120" i="9"/>
  <c r="AQ120" i="9"/>
  <c r="AP120" i="9"/>
  <c r="AO120" i="9"/>
  <c r="AN120" i="9"/>
  <c r="AM120" i="9"/>
  <c r="AL120" i="9"/>
  <c r="AK120" i="9"/>
  <c r="AJ120" i="9"/>
  <c r="AI120" i="9"/>
  <c r="AH120" i="9"/>
  <c r="AG120" i="9"/>
  <c r="AF120" i="9"/>
  <c r="AE120" i="9"/>
  <c r="AD120" i="9"/>
  <c r="AC120" i="9"/>
  <c r="AB120" i="9"/>
  <c r="AA120" i="9"/>
  <c r="Z120" i="9"/>
  <c r="Y120" i="9"/>
  <c r="X120" i="9"/>
  <c r="W120" i="9"/>
  <c r="V120" i="9"/>
  <c r="U120" i="9"/>
  <c r="T120" i="9"/>
  <c r="S120" i="9"/>
  <c r="R120" i="9"/>
  <c r="Q120" i="9"/>
  <c r="P120" i="9"/>
  <c r="O120" i="9"/>
  <c r="N120" i="9"/>
  <c r="M120" i="9"/>
  <c r="L120" i="9"/>
  <c r="K120" i="9"/>
  <c r="J120" i="9"/>
  <c r="I120" i="9"/>
  <c r="H120" i="9"/>
  <c r="G120" i="9"/>
  <c r="F120" i="9"/>
  <c r="E120" i="9"/>
  <c r="D120" i="9"/>
  <c r="C120" i="9"/>
  <c r="AZ119" i="9"/>
  <c r="AY119" i="9"/>
  <c r="AX119" i="9"/>
  <c r="AW119" i="9"/>
  <c r="AV119" i="9"/>
  <c r="AU119" i="9"/>
  <c r="AT119" i="9"/>
  <c r="AS119" i="9"/>
  <c r="AR119" i="9"/>
  <c r="AQ119" i="9"/>
  <c r="AP119" i="9"/>
  <c r="AO119" i="9"/>
  <c r="AN119" i="9"/>
  <c r="AM119" i="9"/>
  <c r="AL119" i="9"/>
  <c r="AK119" i="9"/>
  <c r="AJ119" i="9"/>
  <c r="AI119" i="9"/>
  <c r="AH119" i="9"/>
  <c r="AG119" i="9"/>
  <c r="AF119" i="9"/>
  <c r="AE119" i="9"/>
  <c r="AD119" i="9"/>
  <c r="AC119" i="9"/>
  <c r="AB119" i="9"/>
  <c r="AA119" i="9"/>
  <c r="Z119" i="9"/>
  <c r="Y119" i="9"/>
  <c r="X119" i="9"/>
  <c r="W119" i="9"/>
  <c r="V119" i="9"/>
  <c r="U119" i="9"/>
  <c r="T119" i="9"/>
  <c r="S119" i="9"/>
  <c r="R119" i="9"/>
  <c r="Q119" i="9"/>
  <c r="P119" i="9"/>
  <c r="O119" i="9"/>
  <c r="N119" i="9"/>
  <c r="M119" i="9"/>
  <c r="L119" i="9"/>
  <c r="K119" i="9"/>
  <c r="J119" i="9"/>
  <c r="I119" i="9"/>
  <c r="H119" i="9"/>
  <c r="G119" i="9"/>
  <c r="F119" i="9"/>
  <c r="E119" i="9"/>
  <c r="D119" i="9"/>
  <c r="C119" i="9"/>
  <c r="AZ118" i="9"/>
  <c r="AY118" i="9"/>
  <c r="AX118" i="9"/>
  <c r="AW118" i="9"/>
  <c r="AV118" i="9"/>
  <c r="AU118" i="9"/>
  <c r="AT118" i="9"/>
  <c r="AS118" i="9"/>
  <c r="AR118" i="9"/>
  <c r="AQ118" i="9"/>
  <c r="AP118" i="9"/>
  <c r="AO118" i="9"/>
  <c r="AN118" i="9"/>
  <c r="AM118" i="9"/>
  <c r="AL118" i="9"/>
  <c r="AK118" i="9"/>
  <c r="AJ118" i="9"/>
  <c r="AI118" i="9"/>
  <c r="AH118" i="9"/>
  <c r="AG118" i="9"/>
  <c r="AF118" i="9"/>
  <c r="AE118" i="9"/>
  <c r="AD118" i="9"/>
  <c r="AC118" i="9"/>
  <c r="AB118" i="9"/>
  <c r="AA118" i="9"/>
  <c r="Z118" i="9"/>
  <c r="Y118" i="9"/>
  <c r="X118" i="9"/>
  <c r="W118" i="9"/>
  <c r="V118" i="9"/>
  <c r="U118" i="9"/>
  <c r="T118" i="9"/>
  <c r="S118" i="9"/>
  <c r="R118" i="9"/>
  <c r="Q118" i="9"/>
  <c r="P118" i="9"/>
  <c r="O118" i="9"/>
  <c r="N118" i="9"/>
  <c r="M118" i="9"/>
  <c r="L118" i="9"/>
  <c r="K118" i="9"/>
  <c r="J118" i="9"/>
  <c r="I118" i="9"/>
  <c r="H118" i="9"/>
  <c r="G118" i="9"/>
  <c r="F118" i="9"/>
  <c r="E118" i="9"/>
  <c r="D118" i="9"/>
  <c r="C118" i="9"/>
  <c r="AZ117" i="9"/>
  <c r="AY117" i="9"/>
  <c r="AX117" i="9"/>
  <c r="AW117" i="9"/>
  <c r="AV117" i="9"/>
  <c r="AU117" i="9"/>
  <c r="AT117" i="9"/>
  <c r="AS117" i="9"/>
  <c r="AR117" i="9"/>
  <c r="AQ117" i="9"/>
  <c r="AP117" i="9"/>
  <c r="AO117" i="9"/>
  <c r="AN117" i="9"/>
  <c r="AM117" i="9"/>
  <c r="AL117" i="9"/>
  <c r="AK117" i="9"/>
  <c r="AJ117" i="9"/>
  <c r="AI117" i="9"/>
  <c r="AH117" i="9"/>
  <c r="AG117" i="9"/>
  <c r="AF117" i="9"/>
  <c r="AE117" i="9"/>
  <c r="AD117" i="9"/>
  <c r="AC117" i="9"/>
  <c r="AB117" i="9"/>
  <c r="AA117" i="9"/>
  <c r="Z117" i="9"/>
  <c r="Y117" i="9"/>
  <c r="X117" i="9"/>
  <c r="W117" i="9"/>
  <c r="V117" i="9"/>
  <c r="U117" i="9"/>
  <c r="T117" i="9"/>
  <c r="S117" i="9"/>
  <c r="R117" i="9"/>
  <c r="Q117" i="9"/>
  <c r="P117" i="9"/>
  <c r="O117" i="9"/>
  <c r="N117" i="9"/>
  <c r="M117" i="9"/>
  <c r="L117" i="9"/>
  <c r="K117" i="9"/>
  <c r="J117" i="9"/>
  <c r="I117" i="9"/>
  <c r="H117" i="9"/>
  <c r="G117" i="9"/>
  <c r="F117" i="9"/>
  <c r="E117" i="9"/>
  <c r="D117" i="9"/>
  <c r="C117" i="9"/>
  <c r="AZ116" i="9"/>
  <c r="AY116" i="9"/>
  <c r="AX116" i="9"/>
  <c r="AW116" i="9"/>
  <c r="AV116" i="9"/>
  <c r="AU116" i="9"/>
  <c r="AT116" i="9"/>
  <c r="AS116" i="9"/>
  <c r="AR116" i="9"/>
  <c r="AQ116" i="9"/>
  <c r="AP116" i="9"/>
  <c r="AO116" i="9"/>
  <c r="AN116" i="9"/>
  <c r="AM116" i="9"/>
  <c r="AL116" i="9"/>
  <c r="AK116" i="9"/>
  <c r="AJ116" i="9"/>
  <c r="AI116" i="9"/>
  <c r="AH116" i="9"/>
  <c r="AG116" i="9"/>
  <c r="AF116" i="9"/>
  <c r="AE116" i="9"/>
  <c r="AD116" i="9"/>
  <c r="AC116" i="9"/>
  <c r="AB116" i="9"/>
  <c r="AA116" i="9"/>
  <c r="Z116" i="9"/>
  <c r="Y116" i="9"/>
  <c r="X116" i="9"/>
  <c r="W116" i="9"/>
  <c r="V116" i="9"/>
  <c r="U116" i="9"/>
  <c r="T116" i="9"/>
  <c r="S116" i="9"/>
  <c r="R116" i="9"/>
  <c r="Q116" i="9"/>
  <c r="P116" i="9"/>
  <c r="O116" i="9"/>
  <c r="N116" i="9"/>
  <c r="M116" i="9"/>
  <c r="L116" i="9"/>
  <c r="K116" i="9"/>
  <c r="J116" i="9"/>
  <c r="I116" i="9"/>
  <c r="H116" i="9"/>
  <c r="G116" i="9"/>
  <c r="F116" i="9"/>
  <c r="E116" i="9"/>
  <c r="D116" i="9"/>
  <c r="C116" i="9"/>
  <c r="AZ115" i="9"/>
  <c r="AY115" i="9"/>
  <c r="AX115" i="9"/>
  <c r="AW115" i="9"/>
  <c r="AV115" i="9"/>
  <c r="AU115" i="9"/>
  <c r="AT115" i="9"/>
  <c r="AS115" i="9"/>
  <c r="AR115" i="9"/>
  <c r="AQ115" i="9"/>
  <c r="AP115" i="9"/>
  <c r="AO115" i="9"/>
  <c r="AN115" i="9"/>
  <c r="AM115" i="9"/>
  <c r="AL115" i="9"/>
  <c r="AK115" i="9"/>
  <c r="AJ115" i="9"/>
  <c r="AI115" i="9"/>
  <c r="AH115" i="9"/>
  <c r="AG115" i="9"/>
  <c r="AF115" i="9"/>
  <c r="AE115" i="9"/>
  <c r="AD115" i="9"/>
  <c r="AC115" i="9"/>
  <c r="AB115" i="9"/>
  <c r="AA115" i="9"/>
  <c r="Z115" i="9"/>
  <c r="Y115" i="9"/>
  <c r="X115" i="9"/>
  <c r="W115" i="9"/>
  <c r="V115" i="9"/>
  <c r="U115" i="9"/>
  <c r="T115" i="9"/>
  <c r="S115" i="9"/>
  <c r="R115" i="9"/>
  <c r="Q115" i="9"/>
  <c r="P115" i="9"/>
  <c r="O115" i="9"/>
  <c r="N115" i="9"/>
  <c r="M115" i="9"/>
  <c r="L115" i="9"/>
  <c r="K115" i="9"/>
  <c r="J115" i="9"/>
  <c r="I115" i="9"/>
  <c r="H115" i="9"/>
  <c r="G115" i="9"/>
  <c r="F115" i="9"/>
  <c r="E115" i="9"/>
  <c r="D115" i="9"/>
  <c r="C115" i="9"/>
  <c r="AZ114" i="9"/>
  <c r="AY114" i="9"/>
  <c r="AX114" i="9"/>
  <c r="AW114" i="9"/>
  <c r="AV114" i="9"/>
  <c r="AU114" i="9"/>
  <c r="AT114" i="9"/>
  <c r="AS114" i="9"/>
  <c r="AR114" i="9"/>
  <c r="AQ114" i="9"/>
  <c r="AP114" i="9"/>
  <c r="AO114" i="9"/>
  <c r="AN114" i="9"/>
  <c r="AM114" i="9"/>
  <c r="AL114" i="9"/>
  <c r="AK114" i="9"/>
  <c r="AJ114" i="9"/>
  <c r="AI114" i="9"/>
  <c r="AH114" i="9"/>
  <c r="AG114" i="9"/>
  <c r="AF114" i="9"/>
  <c r="AE114" i="9"/>
  <c r="AD114" i="9"/>
  <c r="AC114" i="9"/>
  <c r="AB114" i="9"/>
  <c r="AA114" i="9"/>
  <c r="Z114" i="9"/>
  <c r="Y114" i="9"/>
  <c r="X114" i="9"/>
  <c r="W114" i="9"/>
  <c r="V114" i="9"/>
  <c r="U114" i="9"/>
  <c r="T114" i="9"/>
  <c r="S114" i="9"/>
  <c r="R114" i="9"/>
  <c r="Q114" i="9"/>
  <c r="P114" i="9"/>
  <c r="O114" i="9"/>
  <c r="N114" i="9"/>
  <c r="M114" i="9"/>
  <c r="L114" i="9"/>
  <c r="K114" i="9"/>
  <c r="J114" i="9"/>
  <c r="I114" i="9"/>
  <c r="H114" i="9"/>
  <c r="G114" i="9"/>
  <c r="F114" i="9"/>
  <c r="E114" i="9"/>
  <c r="D114" i="9"/>
  <c r="C114" i="9"/>
  <c r="AZ113" i="9"/>
  <c r="AY113" i="9"/>
  <c r="AX113" i="9"/>
  <c r="AW113" i="9"/>
  <c r="AV113" i="9"/>
  <c r="AU113" i="9"/>
  <c r="AT113" i="9"/>
  <c r="AS113" i="9"/>
  <c r="AR113" i="9"/>
  <c r="AQ113" i="9"/>
  <c r="AP113" i="9"/>
  <c r="AO113" i="9"/>
  <c r="AN113" i="9"/>
  <c r="AM113" i="9"/>
  <c r="AL113" i="9"/>
  <c r="AK113" i="9"/>
  <c r="AJ113" i="9"/>
  <c r="AI113" i="9"/>
  <c r="AH113" i="9"/>
  <c r="AG113" i="9"/>
  <c r="AF113" i="9"/>
  <c r="AE113" i="9"/>
  <c r="AD113" i="9"/>
  <c r="AC113" i="9"/>
  <c r="AB113" i="9"/>
  <c r="AA113" i="9"/>
  <c r="Z113" i="9"/>
  <c r="Y113" i="9"/>
  <c r="X113" i="9"/>
  <c r="W113" i="9"/>
  <c r="V113" i="9"/>
  <c r="U113" i="9"/>
  <c r="T113" i="9"/>
  <c r="S113" i="9"/>
  <c r="R113" i="9"/>
  <c r="Q113" i="9"/>
  <c r="P113" i="9"/>
  <c r="O113" i="9"/>
  <c r="N113" i="9"/>
  <c r="M113" i="9"/>
  <c r="L113" i="9"/>
  <c r="K113" i="9"/>
  <c r="J113" i="9"/>
  <c r="I113" i="9"/>
  <c r="H113" i="9"/>
  <c r="G113" i="9"/>
  <c r="F113" i="9"/>
  <c r="E113" i="9"/>
  <c r="D113" i="9"/>
  <c r="C113" i="9"/>
  <c r="AZ112" i="9"/>
  <c r="AY112" i="9"/>
  <c r="AX112" i="9"/>
  <c r="AW112" i="9"/>
  <c r="AV112" i="9"/>
  <c r="AU112" i="9"/>
  <c r="AT112" i="9"/>
  <c r="AS112" i="9"/>
  <c r="AR112" i="9"/>
  <c r="AQ112" i="9"/>
  <c r="AP112" i="9"/>
  <c r="AO112" i="9"/>
  <c r="AN112" i="9"/>
  <c r="AM112" i="9"/>
  <c r="AL112" i="9"/>
  <c r="AK112" i="9"/>
  <c r="AJ112" i="9"/>
  <c r="AI112" i="9"/>
  <c r="AH112" i="9"/>
  <c r="AG112" i="9"/>
  <c r="AF112" i="9"/>
  <c r="AE112" i="9"/>
  <c r="AD112" i="9"/>
  <c r="AC112" i="9"/>
  <c r="AB112" i="9"/>
  <c r="AA112" i="9"/>
  <c r="Z112" i="9"/>
  <c r="Y112" i="9"/>
  <c r="X112" i="9"/>
  <c r="W112" i="9"/>
  <c r="V112" i="9"/>
  <c r="U112" i="9"/>
  <c r="T112" i="9"/>
  <c r="S112" i="9"/>
  <c r="R112" i="9"/>
  <c r="Q112" i="9"/>
  <c r="P112" i="9"/>
  <c r="O112" i="9"/>
  <c r="N112" i="9"/>
  <c r="M112" i="9"/>
  <c r="L112" i="9"/>
  <c r="K112" i="9"/>
  <c r="J112" i="9"/>
  <c r="I112" i="9"/>
  <c r="H112" i="9"/>
  <c r="G112" i="9"/>
  <c r="F112" i="9"/>
  <c r="E112" i="9"/>
  <c r="D112" i="9"/>
  <c r="C112" i="9"/>
  <c r="AZ111" i="9"/>
  <c r="AY111" i="9"/>
  <c r="AX111" i="9"/>
  <c r="AW111" i="9"/>
  <c r="AV111" i="9"/>
  <c r="AU111" i="9"/>
  <c r="AT111" i="9"/>
  <c r="AS111" i="9"/>
  <c r="AR111" i="9"/>
  <c r="AQ111" i="9"/>
  <c r="AP111" i="9"/>
  <c r="AO111" i="9"/>
  <c r="AN111" i="9"/>
  <c r="AM111" i="9"/>
  <c r="AL111" i="9"/>
  <c r="AK111" i="9"/>
  <c r="AJ111" i="9"/>
  <c r="AI111" i="9"/>
  <c r="AH111" i="9"/>
  <c r="AG111" i="9"/>
  <c r="AF111" i="9"/>
  <c r="AE111" i="9"/>
  <c r="AD111" i="9"/>
  <c r="AC111" i="9"/>
  <c r="AB111" i="9"/>
  <c r="AA111" i="9"/>
  <c r="Z111" i="9"/>
  <c r="Y111" i="9"/>
  <c r="X111" i="9"/>
  <c r="W111" i="9"/>
  <c r="V111" i="9"/>
  <c r="U111" i="9"/>
  <c r="T111" i="9"/>
  <c r="S111" i="9"/>
  <c r="R111" i="9"/>
  <c r="Q111" i="9"/>
  <c r="P111" i="9"/>
  <c r="O111" i="9"/>
  <c r="N111" i="9"/>
  <c r="M111" i="9"/>
  <c r="L111" i="9"/>
  <c r="K111" i="9"/>
  <c r="J111" i="9"/>
  <c r="I111" i="9"/>
  <c r="H111" i="9"/>
  <c r="G111" i="9"/>
  <c r="F111" i="9"/>
  <c r="E111" i="9"/>
  <c r="D111" i="9"/>
  <c r="C111" i="9"/>
  <c r="AZ110" i="9"/>
  <c r="AY110" i="9"/>
  <c r="AX110" i="9"/>
  <c r="AW110" i="9"/>
  <c r="AV110" i="9"/>
  <c r="AU110" i="9"/>
  <c r="AT110" i="9"/>
  <c r="AS110" i="9"/>
  <c r="AR110" i="9"/>
  <c r="AQ110" i="9"/>
  <c r="AP110" i="9"/>
  <c r="AO110" i="9"/>
  <c r="AN110" i="9"/>
  <c r="AM110" i="9"/>
  <c r="AL110" i="9"/>
  <c r="AK110" i="9"/>
  <c r="AJ110" i="9"/>
  <c r="AI110" i="9"/>
  <c r="AH110" i="9"/>
  <c r="AG110" i="9"/>
  <c r="AF110" i="9"/>
  <c r="AE110" i="9"/>
  <c r="AD110" i="9"/>
  <c r="AC110" i="9"/>
  <c r="AB110" i="9"/>
  <c r="AA110" i="9"/>
  <c r="Z110" i="9"/>
  <c r="Y110" i="9"/>
  <c r="X110" i="9"/>
  <c r="W110" i="9"/>
  <c r="V110" i="9"/>
  <c r="U110" i="9"/>
  <c r="T110" i="9"/>
  <c r="S110" i="9"/>
  <c r="R110" i="9"/>
  <c r="Q110" i="9"/>
  <c r="P110" i="9"/>
  <c r="O110" i="9"/>
  <c r="N110" i="9"/>
  <c r="M110" i="9"/>
  <c r="L110" i="9"/>
  <c r="K110" i="9"/>
  <c r="J110" i="9"/>
  <c r="I110" i="9"/>
  <c r="H110" i="9"/>
  <c r="G110" i="9"/>
  <c r="F110" i="9"/>
  <c r="E110" i="9"/>
  <c r="D110" i="9"/>
  <c r="C110" i="9"/>
  <c r="AZ109" i="9"/>
  <c r="AY109" i="9"/>
  <c r="AX109" i="9"/>
  <c r="AW109" i="9"/>
  <c r="AV109" i="9"/>
  <c r="AU109" i="9"/>
  <c r="AT109" i="9"/>
  <c r="AS109" i="9"/>
  <c r="AR109" i="9"/>
  <c r="AQ109" i="9"/>
  <c r="AP109" i="9"/>
  <c r="AO109" i="9"/>
  <c r="AN109" i="9"/>
  <c r="AM109" i="9"/>
  <c r="AL109" i="9"/>
  <c r="AK109" i="9"/>
  <c r="AJ109" i="9"/>
  <c r="AI109" i="9"/>
  <c r="AH109" i="9"/>
  <c r="AG109" i="9"/>
  <c r="AF109" i="9"/>
  <c r="AE109" i="9"/>
  <c r="AD109" i="9"/>
  <c r="AC109" i="9"/>
  <c r="AB109" i="9"/>
  <c r="AA109" i="9"/>
  <c r="Z109" i="9"/>
  <c r="Y109" i="9"/>
  <c r="X109" i="9"/>
  <c r="W109" i="9"/>
  <c r="V109" i="9"/>
  <c r="U109" i="9"/>
  <c r="T109" i="9"/>
  <c r="S109" i="9"/>
  <c r="R109" i="9"/>
  <c r="Q109" i="9"/>
  <c r="P109" i="9"/>
  <c r="O109" i="9"/>
  <c r="N109" i="9"/>
  <c r="M109" i="9"/>
  <c r="L109" i="9"/>
  <c r="K109" i="9"/>
  <c r="J109" i="9"/>
  <c r="I109" i="9"/>
  <c r="H109" i="9"/>
  <c r="G109" i="9"/>
  <c r="F109" i="9"/>
  <c r="E109" i="9"/>
  <c r="D109" i="9"/>
  <c r="C109" i="9"/>
  <c r="AZ108" i="9"/>
  <c r="AY108" i="9"/>
  <c r="AX108" i="9"/>
  <c r="AW108" i="9"/>
  <c r="AV108" i="9"/>
  <c r="AU108" i="9"/>
  <c r="AT108" i="9"/>
  <c r="AS108" i="9"/>
  <c r="AR108" i="9"/>
  <c r="AQ108" i="9"/>
  <c r="AP108" i="9"/>
  <c r="AO108" i="9"/>
  <c r="AN108" i="9"/>
  <c r="AM108" i="9"/>
  <c r="AL108" i="9"/>
  <c r="AK108" i="9"/>
  <c r="AJ108" i="9"/>
  <c r="AI108" i="9"/>
  <c r="AH108" i="9"/>
  <c r="AG108" i="9"/>
  <c r="AF108" i="9"/>
  <c r="AE108" i="9"/>
  <c r="AD108" i="9"/>
  <c r="AC108" i="9"/>
  <c r="AB108" i="9"/>
  <c r="AA108" i="9"/>
  <c r="Z108" i="9"/>
  <c r="Y108" i="9"/>
  <c r="X108" i="9"/>
  <c r="W108" i="9"/>
  <c r="V108" i="9"/>
  <c r="U108" i="9"/>
  <c r="T108" i="9"/>
  <c r="S108" i="9"/>
  <c r="R108" i="9"/>
  <c r="Q108" i="9"/>
  <c r="P108" i="9"/>
  <c r="O108" i="9"/>
  <c r="N108" i="9"/>
  <c r="M108" i="9"/>
  <c r="L108" i="9"/>
  <c r="K108" i="9"/>
  <c r="J108" i="9"/>
  <c r="I108" i="9"/>
  <c r="H108" i="9"/>
  <c r="G108" i="9"/>
  <c r="F108" i="9"/>
  <c r="E108" i="9"/>
  <c r="D108" i="9"/>
  <c r="C108" i="9"/>
  <c r="AZ107" i="9"/>
  <c r="AY107" i="9"/>
  <c r="AX107" i="9"/>
  <c r="AW107" i="9"/>
  <c r="AV107" i="9"/>
  <c r="AU107" i="9"/>
  <c r="AT107" i="9"/>
  <c r="AS107" i="9"/>
  <c r="AR107" i="9"/>
  <c r="AQ107" i="9"/>
  <c r="AP107" i="9"/>
  <c r="AO107" i="9"/>
  <c r="AN107" i="9"/>
  <c r="AM107" i="9"/>
  <c r="AL107" i="9"/>
  <c r="AK107" i="9"/>
  <c r="AJ107" i="9"/>
  <c r="AI107" i="9"/>
  <c r="AH107" i="9"/>
  <c r="AG107" i="9"/>
  <c r="AF107" i="9"/>
  <c r="AE107" i="9"/>
  <c r="AD107" i="9"/>
  <c r="AC107" i="9"/>
  <c r="AB107" i="9"/>
  <c r="AA107" i="9"/>
  <c r="Z107" i="9"/>
  <c r="Y107" i="9"/>
  <c r="X107" i="9"/>
  <c r="W107" i="9"/>
  <c r="V107" i="9"/>
  <c r="U107" i="9"/>
  <c r="T107" i="9"/>
  <c r="S107" i="9"/>
  <c r="R107" i="9"/>
  <c r="Q107" i="9"/>
  <c r="P107" i="9"/>
  <c r="O107" i="9"/>
  <c r="N107" i="9"/>
  <c r="M107" i="9"/>
  <c r="L107" i="9"/>
  <c r="K107" i="9"/>
  <c r="J107" i="9"/>
  <c r="I107" i="9"/>
  <c r="H107" i="9"/>
  <c r="G107" i="9"/>
  <c r="F107" i="9"/>
  <c r="E107" i="9"/>
  <c r="D107" i="9"/>
  <c r="C107" i="9"/>
  <c r="AZ106" i="9"/>
  <c r="AY106" i="9"/>
  <c r="AX106" i="9"/>
  <c r="AW106" i="9"/>
  <c r="AV106" i="9"/>
  <c r="AU106" i="9"/>
  <c r="AT106" i="9"/>
  <c r="AS106" i="9"/>
  <c r="AR106" i="9"/>
  <c r="AQ106" i="9"/>
  <c r="AP106" i="9"/>
  <c r="AO106" i="9"/>
  <c r="AN106" i="9"/>
  <c r="AM106" i="9"/>
  <c r="AL106" i="9"/>
  <c r="AK106" i="9"/>
  <c r="AJ106" i="9"/>
  <c r="AI106" i="9"/>
  <c r="AH106" i="9"/>
  <c r="AG106" i="9"/>
  <c r="AF106" i="9"/>
  <c r="AE106" i="9"/>
  <c r="AD106" i="9"/>
  <c r="AC106" i="9"/>
  <c r="AB106" i="9"/>
  <c r="AA106" i="9"/>
  <c r="Z106" i="9"/>
  <c r="Y106" i="9"/>
  <c r="X106" i="9"/>
  <c r="W106" i="9"/>
  <c r="V106" i="9"/>
  <c r="U106" i="9"/>
  <c r="T106" i="9"/>
  <c r="S106" i="9"/>
  <c r="R106" i="9"/>
  <c r="Q106" i="9"/>
  <c r="P106" i="9"/>
  <c r="O106" i="9"/>
  <c r="N106" i="9"/>
  <c r="M106" i="9"/>
  <c r="L106" i="9"/>
  <c r="K106" i="9"/>
  <c r="J106" i="9"/>
  <c r="I106" i="9"/>
  <c r="H106" i="9"/>
  <c r="G106" i="9"/>
  <c r="F106" i="9"/>
  <c r="E106" i="9"/>
  <c r="D106" i="9"/>
  <c r="C106" i="9"/>
  <c r="AZ105" i="9"/>
  <c r="AY105" i="9"/>
  <c r="AX105" i="9"/>
  <c r="AW105" i="9"/>
  <c r="AV105" i="9"/>
  <c r="AU105" i="9"/>
  <c r="AT105" i="9"/>
  <c r="AS105" i="9"/>
  <c r="AR105" i="9"/>
  <c r="AQ105" i="9"/>
  <c r="AP105" i="9"/>
  <c r="AO105" i="9"/>
  <c r="AN105" i="9"/>
  <c r="AM105" i="9"/>
  <c r="AL105" i="9"/>
  <c r="AK105" i="9"/>
  <c r="AJ105" i="9"/>
  <c r="AI105" i="9"/>
  <c r="AH105" i="9"/>
  <c r="AG105" i="9"/>
  <c r="AF105" i="9"/>
  <c r="AE105" i="9"/>
  <c r="AD105" i="9"/>
  <c r="AC105" i="9"/>
  <c r="AB105" i="9"/>
  <c r="AA105" i="9"/>
  <c r="Z105" i="9"/>
  <c r="Y105" i="9"/>
  <c r="X105" i="9"/>
  <c r="W105" i="9"/>
  <c r="V105" i="9"/>
  <c r="U105" i="9"/>
  <c r="T105" i="9"/>
  <c r="S105" i="9"/>
  <c r="R105" i="9"/>
  <c r="Q105" i="9"/>
  <c r="P105" i="9"/>
  <c r="O105" i="9"/>
  <c r="N105" i="9"/>
  <c r="M105" i="9"/>
  <c r="L105" i="9"/>
  <c r="K105" i="9"/>
  <c r="J105" i="9"/>
  <c r="I105" i="9"/>
  <c r="H105" i="9"/>
  <c r="G105" i="9"/>
  <c r="F105" i="9"/>
  <c r="E105" i="9"/>
  <c r="D105" i="9"/>
  <c r="C105" i="9"/>
  <c r="AZ104" i="9"/>
  <c r="AY104" i="9"/>
  <c r="AX104" i="9"/>
  <c r="AW104" i="9"/>
  <c r="AV104" i="9"/>
  <c r="AU104" i="9"/>
  <c r="AT104" i="9"/>
  <c r="AS104" i="9"/>
  <c r="AR104" i="9"/>
  <c r="AQ104" i="9"/>
  <c r="AP104" i="9"/>
  <c r="AO104" i="9"/>
  <c r="AN104" i="9"/>
  <c r="AM104" i="9"/>
  <c r="AL104" i="9"/>
  <c r="AK104" i="9"/>
  <c r="AJ104" i="9"/>
  <c r="AI104" i="9"/>
  <c r="AH104" i="9"/>
  <c r="AG104" i="9"/>
  <c r="AF104" i="9"/>
  <c r="AE104" i="9"/>
  <c r="AD104" i="9"/>
  <c r="AC104" i="9"/>
  <c r="AB104" i="9"/>
  <c r="AA104" i="9"/>
  <c r="Z104" i="9"/>
  <c r="Y104" i="9"/>
  <c r="X104" i="9"/>
  <c r="W104" i="9"/>
  <c r="V104" i="9"/>
  <c r="U104" i="9"/>
  <c r="T104" i="9"/>
  <c r="S104" i="9"/>
  <c r="R104" i="9"/>
  <c r="Q104" i="9"/>
  <c r="P104" i="9"/>
  <c r="O104" i="9"/>
  <c r="N104" i="9"/>
  <c r="M104" i="9"/>
  <c r="L104" i="9"/>
  <c r="K104" i="9"/>
  <c r="J104" i="9"/>
  <c r="I104" i="9"/>
  <c r="H104" i="9"/>
  <c r="G104" i="9"/>
  <c r="F104" i="9"/>
  <c r="E104" i="9"/>
  <c r="D104" i="9"/>
  <c r="C104" i="9"/>
  <c r="AZ103" i="9"/>
  <c r="AY103" i="9"/>
  <c r="AX103" i="9"/>
  <c r="AW103" i="9"/>
  <c r="AV103" i="9"/>
  <c r="AU103" i="9"/>
  <c r="AT103" i="9"/>
  <c r="AS103" i="9"/>
  <c r="AR103" i="9"/>
  <c r="AQ103" i="9"/>
  <c r="AP103" i="9"/>
  <c r="AO103" i="9"/>
  <c r="AN103" i="9"/>
  <c r="AM103" i="9"/>
  <c r="AL103" i="9"/>
  <c r="AK103" i="9"/>
  <c r="AJ103" i="9"/>
  <c r="AI103" i="9"/>
  <c r="AH103" i="9"/>
  <c r="AG103" i="9"/>
  <c r="AF103" i="9"/>
  <c r="AE103" i="9"/>
  <c r="AD103" i="9"/>
  <c r="AC103" i="9"/>
  <c r="AB103" i="9"/>
  <c r="AA103" i="9"/>
  <c r="Z103" i="9"/>
  <c r="Y103" i="9"/>
  <c r="X103" i="9"/>
  <c r="W103" i="9"/>
  <c r="V103" i="9"/>
  <c r="U103" i="9"/>
  <c r="T103" i="9"/>
  <c r="S103" i="9"/>
  <c r="R103" i="9"/>
  <c r="Q103" i="9"/>
  <c r="P103" i="9"/>
  <c r="O103" i="9"/>
  <c r="N103" i="9"/>
  <c r="M103" i="9"/>
  <c r="L103" i="9"/>
  <c r="K103" i="9"/>
  <c r="J103" i="9"/>
  <c r="I103" i="9"/>
  <c r="H103" i="9"/>
  <c r="G103" i="9"/>
  <c r="F103" i="9"/>
  <c r="E103" i="9"/>
  <c r="D103" i="9"/>
  <c r="C103" i="9"/>
  <c r="AZ102" i="9"/>
  <c r="AY102" i="9"/>
  <c r="AX102" i="9"/>
  <c r="AW102" i="9"/>
  <c r="AV102" i="9"/>
  <c r="AU102" i="9"/>
  <c r="AT102" i="9"/>
  <c r="AS102" i="9"/>
  <c r="AR102" i="9"/>
  <c r="AQ102" i="9"/>
  <c r="AP102" i="9"/>
  <c r="AO102" i="9"/>
  <c r="AN102" i="9"/>
  <c r="AM102" i="9"/>
  <c r="AL102" i="9"/>
  <c r="AK102" i="9"/>
  <c r="AJ102" i="9"/>
  <c r="AI102" i="9"/>
  <c r="AH102" i="9"/>
  <c r="AG102" i="9"/>
  <c r="AF102" i="9"/>
  <c r="AE102" i="9"/>
  <c r="AD102" i="9"/>
  <c r="AC102" i="9"/>
  <c r="AB102" i="9"/>
  <c r="AA102" i="9"/>
  <c r="Z102" i="9"/>
  <c r="Y102" i="9"/>
  <c r="X102" i="9"/>
  <c r="W102" i="9"/>
  <c r="V102" i="9"/>
  <c r="U102" i="9"/>
  <c r="T102" i="9"/>
  <c r="S102" i="9"/>
  <c r="R102" i="9"/>
  <c r="Q102" i="9"/>
  <c r="P102" i="9"/>
  <c r="O102" i="9"/>
  <c r="N102" i="9"/>
  <c r="M102" i="9"/>
  <c r="L102" i="9"/>
  <c r="K102" i="9"/>
  <c r="J102" i="9"/>
  <c r="I102" i="9"/>
  <c r="H102" i="9"/>
  <c r="G102" i="9"/>
  <c r="F102" i="9"/>
  <c r="E102" i="9"/>
  <c r="D102" i="9"/>
  <c r="C102" i="9"/>
  <c r="AZ101" i="9"/>
  <c r="AY101" i="9"/>
  <c r="AX101" i="9"/>
  <c r="AW101" i="9"/>
  <c r="AV101" i="9"/>
  <c r="AU101" i="9"/>
  <c r="AT101" i="9"/>
  <c r="AS101" i="9"/>
  <c r="AR101" i="9"/>
  <c r="AQ101" i="9"/>
  <c r="AP101" i="9"/>
  <c r="AO101" i="9"/>
  <c r="AN101" i="9"/>
  <c r="AM101" i="9"/>
  <c r="AL101" i="9"/>
  <c r="AK101" i="9"/>
  <c r="AJ101" i="9"/>
  <c r="AI101" i="9"/>
  <c r="AH101" i="9"/>
  <c r="AG101" i="9"/>
  <c r="AF101" i="9"/>
  <c r="AE101" i="9"/>
  <c r="AD101" i="9"/>
  <c r="AC101" i="9"/>
  <c r="AB101" i="9"/>
  <c r="AA101" i="9"/>
  <c r="Z101" i="9"/>
  <c r="Y101" i="9"/>
  <c r="X101" i="9"/>
  <c r="W101" i="9"/>
  <c r="V101" i="9"/>
  <c r="U101" i="9"/>
  <c r="T101" i="9"/>
  <c r="S101" i="9"/>
  <c r="R101" i="9"/>
  <c r="Q101" i="9"/>
  <c r="P101" i="9"/>
  <c r="O101" i="9"/>
  <c r="N101" i="9"/>
  <c r="M101" i="9"/>
  <c r="L101" i="9"/>
  <c r="K101" i="9"/>
  <c r="J101" i="9"/>
  <c r="I101" i="9"/>
  <c r="H101" i="9"/>
  <c r="G101" i="9"/>
  <c r="F101" i="9"/>
  <c r="E101" i="9"/>
  <c r="D101" i="9"/>
  <c r="C101" i="9"/>
  <c r="AZ100" i="9"/>
  <c r="AY100" i="9"/>
  <c r="AX100" i="9"/>
  <c r="AW100" i="9"/>
  <c r="AV100" i="9"/>
  <c r="AU100" i="9"/>
  <c r="AT100" i="9"/>
  <c r="AS100" i="9"/>
  <c r="AR100" i="9"/>
  <c r="AQ100" i="9"/>
  <c r="AP100" i="9"/>
  <c r="AO100" i="9"/>
  <c r="AN100" i="9"/>
  <c r="AM100" i="9"/>
  <c r="AL100" i="9"/>
  <c r="AK100" i="9"/>
  <c r="AJ100" i="9"/>
  <c r="AI100" i="9"/>
  <c r="AH100" i="9"/>
  <c r="AG100" i="9"/>
  <c r="AF100" i="9"/>
  <c r="AE100" i="9"/>
  <c r="AD100" i="9"/>
  <c r="AC100" i="9"/>
  <c r="AB100" i="9"/>
  <c r="AA100" i="9"/>
  <c r="Z100" i="9"/>
  <c r="Y100" i="9"/>
  <c r="X100" i="9"/>
  <c r="W100" i="9"/>
  <c r="V100" i="9"/>
  <c r="U100" i="9"/>
  <c r="T100" i="9"/>
  <c r="S100" i="9"/>
  <c r="R100" i="9"/>
  <c r="Q100" i="9"/>
  <c r="P100" i="9"/>
  <c r="O100" i="9"/>
  <c r="N100" i="9"/>
  <c r="M100" i="9"/>
  <c r="L100" i="9"/>
  <c r="K100" i="9"/>
  <c r="J100" i="9"/>
  <c r="I100" i="9"/>
  <c r="H100" i="9"/>
  <c r="G100" i="9"/>
  <c r="F100" i="9"/>
  <c r="E100" i="9"/>
  <c r="D100" i="9"/>
  <c r="C100" i="9"/>
  <c r="AZ99" i="9"/>
  <c r="AY99" i="9"/>
  <c r="AX99" i="9"/>
  <c r="AW99" i="9"/>
  <c r="AV99" i="9"/>
  <c r="AU99" i="9"/>
  <c r="AT99" i="9"/>
  <c r="AS99" i="9"/>
  <c r="AR99" i="9"/>
  <c r="AQ99" i="9"/>
  <c r="AP99" i="9"/>
  <c r="AO99" i="9"/>
  <c r="AN99" i="9"/>
  <c r="AM99" i="9"/>
  <c r="AL99" i="9"/>
  <c r="AK99" i="9"/>
  <c r="AJ99" i="9"/>
  <c r="AI99" i="9"/>
  <c r="AH99" i="9"/>
  <c r="AG99" i="9"/>
  <c r="AF99" i="9"/>
  <c r="AE99" i="9"/>
  <c r="AD99" i="9"/>
  <c r="AC99" i="9"/>
  <c r="AB99" i="9"/>
  <c r="AA99" i="9"/>
  <c r="Z99" i="9"/>
  <c r="Y99" i="9"/>
  <c r="X99" i="9"/>
  <c r="W99" i="9"/>
  <c r="V99" i="9"/>
  <c r="U99" i="9"/>
  <c r="T99" i="9"/>
  <c r="S99" i="9"/>
  <c r="R99" i="9"/>
  <c r="Q99" i="9"/>
  <c r="P99" i="9"/>
  <c r="O99" i="9"/>
  <c r="N99" i="9"/>
  <c r="M99" i="9"/>
  <c r="L99" i="9"/>
  <c r="K99" i="9"/>
  <c r="J99" i="9"/>
  <c r="I99" i="9"/>
  <c r="H99" i="9"/>
  <c r="G99" i="9"/>
  <c r="F99" i="9"/>
  <c r="E99" i="9"/>
  <c r="D99" i="9"/>
  <c r="C99" i="9"/>
  <c r="AZ98" i="9"/>
  <c r="AY98" i="9"/>
  <c r="AX98" i="9"/>
  <c r="AW98" i="9"/>
  <c r="AV98" i="9"/>
  <c r="AU98" i="9"/>
  <c r="AT98" i="9"/>
  <c r="AS98" i="9"/>
  <c r="AR98" i="9"/>
  <c r="AQ98" i="9"/>
  <c r="AP98" i="9"/>
  <c r="AO98" i="9"/>
  <c r="AN98" i="9"/>
  <c r="AM98" i="9"/>
  <c r="AL98" i="9"/>
  <c r="AK98" i="9"/>
  <c r="AJ98" i="9"/>
  <c r="AI98" i="9"/>
  <c r="AH98" i="9"/>
  <c r="AG98" i="9"/>
  <c r="AF98" i="9"/>
  <c r="AE98" i="9"/>
  <c r="AD98" i="9"/>
  <c r="AC98" i="9"/>
  <c r="AB98" i="9"/>
  <c r="AA98" i="9"/>
  <c r="Z98" i="9"/>
  <c r="Y98" i="9"/>
  <c r="X98" i="9"/>
  <c r="W98" i="9"/>
  <c r="V98" i="9"/>
  <c r="U98" i="9"/>
  <c r="T98" i="9"/>
  <c r="S98" i="9"/>
  <c r="R98" i="9"/>
  <c r="Q98" i="9"/>
  <c r="P98" i="9"/>
  <c r="O98" i="9"/>
  <c r="N98" i="9"/>
  <c r="M98" i="9"/>
  <c r="L98" i="9"/>
  <c r="K98" i="9"/>
  <c r="J98" i="9"/>
  <c r="I98" i="9"/>
  <c r="H98" i="9"/>
  <c r="G98" i="9"/>
  <c r="F98" i="9"/>
  <c r="E98" i="9"/>
  <c r="D98" i="9"/>
  <c r="C98" i="9"/>
  <c r="AZ97" i="9"/>
  <c r="AY97" i="9"/>
  <c r="AX97" i="9"/>
  <c r="AW97" i="9"/>
  <c r="AV97" i="9"/>
  <c r="AU97" i="9"/>
  <c r="AT97" i="9"/>
  <c r="AS97" i="9"/>
  <c r="AR97" i="9"/>
  <c r="AQ97" i="9"/>
  <c r="AP97" i="9"/>
  <c r="AO97" i="9"/>
  <c r="AN97" i="9"/>
  <c r="AM97" i="9"/>
  <c r="AL97" i="9"/>
  <c r="AK97" i="9"/>
  <c r="AJ97" i="9"/>
  <c r="AI97" i="9"/>
  <c r="AH97" i="9"/>
  <c r="AG97" i="9"/>
  <c r="AF97" i="9"/>
  <c r="AE97" i="9"/>
  <c r="AD97" i="9"/>
  <c r="AC97" i="9"/>
  <c r="AB97" i="9"/>
  <c r="AA97" i="9"/>
  <c r="Z97" i="9"/>
  <c r="Y97" i="9"/>
  <c r="X97" i="9"/>
  <c r="W97" i="9"/>
  <c r="V97" i="9"/>
  <c r="U97" i="9"/>
  <c r="T97" i="9"/>
  <c r="S97" i="9"/>
  <c r="R97" i="9"/>
  <c r="Q97" i="9"/>
  <c r="P97" i="9"/>
  <c r="O97" i="9"/>
  <c r="N97" i="9"/>
  <c r="M97" i="9"/>
  <c r="L97" i="9"/>
  <c r="K97" i="9"/>
  <c r="J97" i="9"/>
  <c r="I97" i="9"/>
  <c r="H97" i="9"/>
  <c r="G97" i="9"/>
  <c r="F97" i="9"/>
  <c r="E97" i="9"/>
  <c r="D97" i="9"/>
  <c r="C97" i="9"/>
  <c r="AZ96" i="9"/>
  <c r="AY96" i="9"/>
  <c r="AX96" i="9"/>
  <c r="AW96" i="9"/>
  <c r="AV96" i="9"/>
  <c r="AU96" i="9"/>
  <c r="AT96" i="9"/>
  <c r="AS96" i="9"/>
  <c r="AR96" i="9"/>
  <c r="AQ96" i="9"/>
  <c r="AP96" i="9"/>
  <c r="AO96" i="9"/>
  <c r="AN96" i="9"/>
  <c r="AM96" i="9"/>
  <c r="AL96" i="9"/>
  <c r="AK96" i="9"/>
  <c r="AJ96" i="9"/>
  <c r="AI96" i="9"/>
  <c r="AH96" i="9"/>
  <c r="AG96" i="9"/>
  <c r="AF96" i="9"/>
  <c r="AE96" i="9"/>
  <c r="AD96" i="9"/>
  <c r="AC96" i="9"/>
  <c r="AB96" i="9"/>
  <c r="AA96" i="9"/>
  <c r="Z96" i="9"/>
  <c r="Y96" i="9"/>
  <c r="X96" i="9"/>
  <c r="W96" i="9"/>
  <c r="V96" i="9"/>
  <c r="U96" i="9"/>
  <c r="T96" i="9"/>
  <c r="S96" i="9"/>
  <c r="R96" i="9"/>
  <c r="Q96" i="9"/>
  <c r="P96" i="9"/>
  <c r="O96" i="9"/>
  <c r="N96" i="9"/>
  <c r="M96" i="9"/>
  <c r="L96" i="9"/>
  <c r="K96" i="9"/>
  <c r="J96" i="9"/>
  <c r="I96" i="9"/>
  <c r="H96" i="9"/>
  <c r="G96" i="9"/>
  <c r="F96" i="9"/>
  <c r="E96" i="9"/>
  <c r="D96" i="9"/>
  <c r="C96" i="9"/>
  <c r="AZ95" i="9"/>
  <c r="AY95" i="9"/>
  <c r="AX95" i="9"/>
  <c r="AW95" i="9"/>
  <c r="AV95" i="9"/>
  <c r="AU95" i="9"/>
  <c r="AT95" i="9"/>
  <c r="AS95" i="9"/>
  <c r="AR95" i="9"/>
  <c r="AQ95" i="9"/>
  <c r="AP95" i="9"/>
  <c r="AO95" i="9"/>
  <c r="AN95" i="9"/>
  <c r="AM95" i="9"/>
  <c r="AL95" i="9"/>
  <c r="AK95" i="9"/>
  <c r="AJ95" i="9"/>
  <c r="AI95" i="9"/>
  <c r="AH95" i="9"/>
  <c r="AG95" i="9"/>
  <c r="AF95" i="9"/>
  <c r="AE95" i="9"/>
  <c r="AD95" i="9"/>
  <c r="AC95" i="9"/>
  <c r="AB95" i="9"/>
  <c r="AA95" i="9"/>
  <c r="Z95" i="9"/>
  <c r="Y95" i="9"/>
  <c r="X95" i="9"/>
  <c r="W95" i="9"/>
  <c r="V95" i="9"/>
  <c r="U95" i="9"/>
  <c r="T95" i="9"/>
  <c r="S95" i="9"/>
  <c r="R95" i="9"/>
  <c r="Q95" i="9"/>
  <c r="P95" i="9"/>
  <c r="O95" i="9"/>
  <c r="N95" i="9"/>
  <c r="M95" i="9"/>
  <c r="L95" i="9"/>
  <c r="K95" i="9"/>
  <c r="J95" i="9"/>
  <c r="I95" i="9"/>
  <c r="H95" i="9"/>
  <c r="G95" i="9"/>
  <c r="F95" i="9"/>
  <c r="E95" i="9"/>
  <c r="D95" i="9"/>
  <c r="C95" i="9"/>
  <c r="AZ94" i="9"/>
  <c r="AY94" i="9"/>
  <c r="AX94" i="9"/>
  <c r="AW94" i="9"/>
  <c r="AV94" i="9"/>
  <c r="AU94" i="9"/>
  <c r="AT94" i="9"/>
  <c r="AS94" i="9"/>
  <c r="AR94" i="9"/>
  <c r="AQ94" i="9"/>
  <c r="AP94" i="9"/>
  <c r="AO94" i="9"/>
  <c r="AN94" i="9"/>
  <c r="AM94" i="9"/>
  <c r="AL94" i="9"/>
  <c r="AK94" i="9"/>
  <c r="AJ94" i="9"/>
  <c r="AI94" i="9"/>
  <c r="AH94" i="9"/>
  <c r="AG94" i="9"/>
  <c r="AF94" i="9"/>
  <c r="AE94" i="9"/>
  <c r="AD94" i="9"/>
  <c r="AC94" i="9"/>
  <c r="AB94" i="9"/>
  <c r="AA94" i="9"/>
  <c r="Z94" i="9"/>
  <c r="Y94" i="9"/>
  <c r="X94" i="9"/>
  <c r="W94" i="9"/>
  <c r="V94" i="9"/>
  <c r="U94" i="9"/>
  <c r="T94" i="9"/>
  <c r="S94" i="9"/>
  <c r="R94" i="9"/>
  <c r="Q94" i="9"/>
  <c r="P94" i="9"/>
  <c r="O94" i="9"/>
  <c r="N94" i="9"/>
  <c r="M94" i="9"/>
  <c r="L94" i="9"/>
  <c r="K94" i="9"/>
  <c r="J94" i="9"/>
  <c r="I94" i="9"/>
  <c r="H94" i="9"/>
  <c r="G94" i="9"/>
  <c r="F94" i="9"/>
  <c r="E94" i="9"/>
  <c r="D94" i="9"/>
  <c r="C94" i="9"/>
  <c r="AZ93" i="9"/>
  <c r="AY93" i="9"/>
  <c r="AX93" i="9"/>
  <c r="AW93" i="9"/>
  <c r="AV93" i="9"/>
  <c r="AU93" i="9"/>
  <c r="AT93" i="9"/>
  <c r="AS93" i="9"/>
  <c r="AR93" i="9"/>
  <c r="AQ93" i="9"/>
  <c r="AP93" i="9"/>
  <c r="AO93" i="9"/>
  <c r="AN93" i="9"/>
  <c r="AM93" i="9"/>
  <c r="AL93" i="9"/>
  <c r="AK93" i="9"/>
  <c r="AJ93" i="9"/>
  <c r="AI93" i="9"/>
  <c r="AH93" i="9"/>
  <c r="AG93" i="9"/>
  <c r="AF93" i="9"/>
  <c r="AE93" i="9"/>
  <c r="AD93" i="9"/>
  <c r="AC93" i="9"/>
  <c r="AB93" i="9"/>
  <c r="AA93" i="9"/>
  <c r="Z93" i="9"/>
  <c r="Y93" i="9"/>
  <c r="X93" i="9"/>
  <c r="W93" i="9"/>
  <c r="V93" i="9"/>
  <c r="U93" i="9"/>
  <c r="T93" i="9"/>
  <c r="S93" i="9"/>
  <c r="R93" i="9"/>
  <c r="Q93" i="9"/>
  <c r="P93" i="9"/>
  <c r="O93" i="9"/>
  <c r="N93" i="9"/>
  <c r="M93" i="9"/>
  <c r="L93" i="9"/>
  <c r="K93" i="9"/>
  <c r="J93" i="9"/>
  <c r="I93" i="9"/>
  <c r="H93" i="9"/>
  <c r="G93" i="9"/>
  <c r="F93" i="9"/>
  <c r="E93" i="9"/>
  <c r="D93" i="9"/>
  <c r="C93" i="9"/>
  <c r="AZ92" i="9"/>
  <c r="AY92" i="9"/>
  <c r="AX92" i="9"/>
  <c r="AW92" i="9"/>
  <c r="AV92" i="9"/>
  <c r="AU92" i="9"/>
  <c r="AT92" i="9"/>
  <c r="AS92" i="9"/>
  <c r="AR92" i="9"/>
  <c r="AQ92" i="9"/>
  <c r="AP92" i="9"/>
  <c r="AO92" i="9"/>
  <c r="AN92" i="9"/>
  <c r="AM92" i="9"/>
  <c r="AL92" i="9"/>
  <c r="AK92" i="9"/>
  <c r="AJ92" i="9"/>
  <c r="AI92" i="9"/>
  <c r="AH92" i="9"/>
  <c r="AG92" i="9"/>
  <c r="AF92" i="9"/>
  <c r="AE92" i="9"/>
  <c r="AD92" i="9"/>
  <c r="AC92" i="9"/>
  <c r="AB92" i="9"/>
  <c r="AA92" i="9"/>
  <c r="Z92" i="9"/>
  <c r="Y92" i="9"/>
  <c r="X92" i="9"/>
  <c r="W92" i="9"/>
  <c r="V92" i="9"/>
  <c r="U92" i="9"/>
  <c r="T92" i="9"/>
  <c r="S92" i="9"/>
  <c r="R92" i="9"/>
  <c r="Q92" i="9"/>
  <c r="P92" i="9"/>
  <c r="O92" i="9"/>
  <c r="N92" i="9"/>
  <c r="M92" i="9"/>
  <c r="L92" i="9"/>
  <c r="K92" i="9"/>
  <c r="J92" i="9"/>
  <c r="I92" i="9"/>
  <c r="H92" i="9"/>
  <c r="G92" i="9"/>
  <c r="F92" i="9"/>
  <c r="E92" i="9"/>
  <c r="D92" i="9"/>
  <c r="C92" i="9"/>
  <c r="AZ91" i="9"/>
  <c r="AY91" i="9"/>
  <c r="AX91" i="9"/>
  <c r="AW91" i="9"/>
  <c r="AV91" i="9"/>
  <c r="AU91" i="9"/>
  <c r="AT91" i="9"/>
  <c r="AS91" i="9"/>
  <c r="AR91" i="9"/>
  <c r="AQ91" i="9"/>
  <c r="AP91" i="9"/>
  <c r="AO91" i="9"/>
  <c r="AN91" i="9"/>
  <c r="AM91" i="9"/>
  <c r="AL91" i="9"/>
  <c r="AK91" i="9"/>
  <c r="AJ91" i="9"/>
  <c r="AI91" i="9"/>
  <c r="AH91" i="9"/>
  <c r="AG91" i="9"/>
  <c r="AF91" i="9"/>
  <c r="AE91" i="9"/>
  <c r="AD91" i="9"/>
  <c r="AC91" i="9"/>
  <c r="AB91" i="9"/>
  <c r="AA91" i="9"/>
  <c r="Z91" i="9"/>
  <c r="Y91" i="9"/>
  <c r="X91" i="9"/>
  <c r="W91" i="9"/>
  <c r="V91" i="9"/>
  <c r="U91" i="9"/>
  <c r="T91" i="9"/>
  <c r="S91" i="9"/>
  <c r="R91" i="9"/>
  <c r="Q91" i="9"/>
  <c r="P91" i="9"/>
  <c r="O91" i="9"/>
  <c r="N91" i="9"/>
  <c r="M91" i="9"/>
  <c r="L91" i="9"/>
  <c r="K91" i="9"/>
  <c r="J91" i="9"/>
  <c r="I91" i="9"/>
  <c r="H91" i="9"/>
  <c r="G91" i="9"/>
  <c r="F91" i="9"/>
  <c r="E91" i="9"/>
  <c r="D91" i="9"/>
  <c r="C91" i="9"/>
  <c r="AZ90" i="9"/>
  <c r="AY90" i="9"/>
  <c r="AX90" i="9"/>
  <c r="AW90" i="9"/>
  <c r="AV90" i="9"/>
  <c r="AU90" i="9"/>
  <c r="AT90" i="9"/>
  <c r="AS90" i="9"/>
  <c r="AR90" i="9"/>
  <c r="AQ90" i="9"/>
  <c r="AP90" i="9"/>
  <c r="AO90" i="9"/>
  <c r="AN90" i="9"/>
  <c r="AM90" i="9"/>
  <c r="AL90" i="9"/>
  <c r="AK90" i="9"/>
  <c r="AJ90" i="9"/>
  <c r="AI90" i="9"/>
  <c r="AH90" i="9"/>
  <c r="AG90" i="9"/>
  <c r="AF90" i="9"/>
  <c r="AE90" i="9"/>
  <c r="AD90" i="9"/>
  <c r="AC90" i="9"/>
  <c r="AB90" i="9"/>
  <c r="AA90" i="9"/>
  <c r="Z90" i="9"/>
  <c r="Y90" i="9"/>
  <c r="X90" i="9"/>
  <c r="W90" i="9"/>
  <c r="V90" i="9"/>
  <c r="U90" i="9"/>
  <c r="T90" i="9"/>
  <c r="S90" i="9"/>
  <c r="R90" i="9"/>
  <c r="Q90" i="9"/>
  <c r="P90" i="9"/>
  <c r="O90" i="9"/>
  <c r="N90" i="9"/>
  <c r="M90" i="9"/>
  <c r="L90" i="9"/>
  <c r="K90" i="9"/>
  <c r="J90" i="9"/>
  <c r="I90" i="9"/>
  <c r="H90" i="9"/>
  <c r="G90" i="9"/>
  <c r="F90" i="9"/>
  <c r="E90" i="9"/>
  <c r="D90" i="9"/>
  <c r="C90" i="9"/>
  <c r="AZ89" i="9"/>
  <c r="AY89" i="9"/>
  <c r="AX89" i="9"/>
  <c r="AW89" i="9"/>
  <c r="AV89" i="9"/>
  <c r="AU89" i="9"/>
  <c r="AT89" i="9"/>
  <c r="AS89" i="9"/>
  <c r="AR89" i="9"/>
  <c r="AQ89" i="9"/>
  <c r="AP89" i="9"/>
  <c r="AO89" i="9"/>
  <c r="AN89" i="9"/>
  <c r="AM89" i="9"/>
  <c r="AL89" i="9"/>
  <c r="AK89" i="9"/>
  <c r="AJ89" i="9"/>
  <c r="AI89" i="9"/>
  <c r="AH89" i="9"/>
  <c r="AG89" i="9"/>
  <c r="AF89" i="9"/>
  <c r="AE89" i="9"/>
  <c r="AD89" i="9"/>
  <c r="AC89" i="9"/>
  <c r="AB89" i="9"/>
  <c r="AA89" i="9"/>
  <c r="Z89" i="9"/>
  <c r="Y89" i="9"/>
  <c r="X89" i="9"/>
  <c r="W89" i="9"/>
  <c r="V89" i="9"/>
  <c r="U89" i="9"/>
  <c r="T89" i="9"/>
  <c r="S89" i="9"/>
  <c r="R89" i="9"/>
  <c r="Q89" i="9"/>
  <c r="P89" i="9"/>
  <c r="O89" i="9"/>
  <c r="N89" i="9"/>
  <c r="M89" i="9"/>
  <c r="L89" i="9"/>
  <c r="K89" i="9"/>
  <c r="J89" i="9"/>
  <c r="I89" i="9"/>
  <c r="H89" i="9"/>
  <c r="G89" i="9"/>
  <c r="F89" i="9"/>
  <c r="E89" i="9"/>
  <c r="D89" i="9"/>
  <c r="C89" i="9"/>
  <c r="AZ88" i="9"/>
  <c r="AY88" i="9"/>
  <c r="AX88" i="9"/>
  <c r="AW88" i="9"/>
  <c r="AV88" i="9"/>
  <c r="AU88" i="9"/>
  <c r="AT88" i="9"/>
  <c r="AS88" i="9"/>
  <c r="AR88" i="9"/>
  <c r="AQ88" i="9"/>
  <c r="AP88" i="9"/>
  <c r="AO88" i="9"/>
  <c r="AN88" i="9"/>
  <c r="AM88" i="9"/>
  <c r="AL88" i="9"/>
  <c r="AK88" i="9"/>
  <c r="AJ88" i="9"/>
  <c r="AI88" i="9"/>
  <c r="AH88" i="9"/>
  <c r="AG88" i="9"/>
  <c r="AF88" i="9"/>
  <c r="AE88" i="9"/>
  <c r="AD88" i="9"/>
  <c r="AC88" i="9"/>
  <c r="AB88" i="9"/>
  <c r="AA88" i="9"/>
  <c r="Z88" i="9"/>
  <c r="Y88" i="9"/>
  <c r="X88" i="9"/>
  <c r="W88" i="9"/>
  <c r="V88" i="9"/>
  <c r="U88" i="9"/>
  <c r="T88" i="9"/>
  <c r="S88" i="9"/>
  <c r="R88" i="9"/>
  <c r="Q88" i="9"/>
  <c r="P88" i="9"/>
  <c r="O88" i="9"/>
  <c r="N88" i="9"/>
  <c r="M88" i="9"/>
  <c r="L88" i="9"/>
  <c r="K88" i="9"/>
  <c r="J88" i="9"/>
  <c r="I88" i="9"/>
  <c r="H88" i="9"/>
  <c r="G88" i="9"/>
  <c r="F88" i="9"/>
  <c r="E88" i="9"/>
  <c r="D88" i="9"/>
  <c r="C88" i="9"/>
  <c r="AZ87" i="9"/>
  <c r="AY87" i="9"/>
  <c r="AX87" i="9"/>
  <c r="AW87" i="9"/>
  <c r="AV87" i="9"/>
  <c r="AU87" i="9"/>
  <c r="AT87" i="9"/>
  <c r="AS87" i="9"/>
  <c r="AR87" i="9"/>
  <c r="AQ87" i="9"/>
  <c r="AP87" i="9"/>
  <c r="AO87" i="9"/>
  <c r="AN87" i="9"/>
  <c r="AM87" i="9"/>
  <c r="AL87" i="9"/>
  <c r="AK87" i="9"/>
  <c r="AJ87" i="9"/>
  <c r="AI87" i="9"/>
  <c r="AH87" i="9"/>
  <c r="AG87" i="9"/>
  <c r="AF87" i="9"/>
  <c r="AE87" i="9"/>
  <c r="AD87" i="9"/>
  <c r="AC87" i="9"/>
  <c r="AB87" i="9"/>
  <c r="AA87" i="9"/>
  <c r="Z87" i="9"/>
  <c r="Y87" i="9"/>
  <c r="X87" i="9"/>
  <c r="W87" i="9"/>
  <c r="V87" i="9"/>
  <c r="U87" i="9"/>
  <c r="T87" i="9"/>
  <c r="S87" i="9"/>
  <c r="R87" i="9"/>
  <c r="Q87" i="9"/>
  <c r="P87" i="9"/>
  <c r="O87" i="9"/>
  <c r="N87" i="9"/>
  <c r="M87" i="9"/>
  <c r="L87" i="9"/>
  <c r="K87" i="9"/>
  <c r="J87" i="9"/>
  <c r="I87" i="9"/>
  <c r="H87" i="9"/>
  <c r="G87" i="9"/>
  <c r="F87" i="9"/>
  <c r="E87" i="9"/>
  <c r="D87" i="9"/>
  <c r="C87" i="9"/>
  <c r="AZ86" i="9"/>
  <c r="AY86" i="9"/>
  <c r="AX86" i="9"/>
  <c r="AW86" i="9"/>
  <c r="AV86" i="9"/>
  <c r="AU86" i="9"/>
  <c r="AT86" i="9"/>
  <c r="AS86" i="9"/>
  <c r="AR86" i="9"/>
  <c r="AQ86" i="9"/>
  <c r="AP86" i="9"/>
  <c r="AO86" i="9"/>
  <c r="AN86" i="9"/>
  <c r="AM86" i="9"/>
  <c r="AL86" i="9"/>
  <c r="AK86" i="9"/>
  <c r="AJ86" i="9"/>
  <c r="AI86" i="9"/>
  <c r="AH86" i="9"/>
  <c r="AG86" i="9"/>
  <c r="AF86" i="9"/>
  <c r="AE86" i="9"/>
  <c r="AD86" i="9"/>
  <c r="AC86" i="9"/>
  <c r="AB86" i="9"/>
  <c r="AA86" i="9"/>
  <c r="Z86" i="9"/>
  <c r="Y86" i="9"/>
  <c r="X86" i="9"/>
  <c r="W86" i="9"/>
  <c r="V86" i="9"/>
  <c r="U86" i="9"/>
  <c r="T86" i="9"/>
  <c r="S86" i="9"/>
  <c r="R86" i="9"/>
  <c r="Q86" i="9"/>
  <c r="P86" i="9"/>
  <c r="O86" i="9"/>
  <c r="N86" i="9"/>
  <c r="M86" i="9"/>
  <c r="L86" i="9"/>
  <c r="K86" i="9"/>
  <c r="J86" i="9"/>
  <c r="I86" i="9"/>
  <c r="H86" i="9"/>
  <c r="G86" i="9"/>
  <c r="F86" i="9"/>
  <c r="E86" i="9"/>
  <c r="D86" i="9"/>
  <c r="C86" i="9"/>
  <c r="F82" i="9"/>
  <c r="AZ80" i="9"/>
  <c r="AY80" i="9"/>
  <c r="AX80" i="9"/>
  <c r="AW80" i="9"/>
  <c r="AV80" i="9"/>
  <c r="AU80" i="9"/>
  <c r="AT80" i="9"/>
  <c r="AS80" i="9"/>
  <c r="AR80" i="9"/>
  <c r="AQ80" i="9"/>
  <c r="AP80" i="9"/>
  <c r="AO80" i="9"/>
  <c r="AN80" i="9"/>
  <c r="AM80" i="9"/>
  <c r="AL80" i="9"/>
  <c r="AK80" i="9"/>
  <c r="AJ80" i="9"/>
  <c r="AI80" i="9"/>
  <c r="AH80" i="9"/>
  <c r="AG80" i="9"/>
  <c r="AF80" i="9"/>
  <c r="AE80" i="9"/>
  <c r="AD80" i="9"/>
  <c r="AC80" i="9"/>
  <c r="AB80" i="9"/>
  <c r="AA80" i="9"/>
  <c r="Z80" i="9"/>
  <c r="Y80" i="9"/>
  <c r="X80" i="9"/>
  <c r="W80" i="9"/>
  <c r="V80" i="9"/>
  <c r="U80" i="9"/>
  <c r="T80" i="9"/>
  <c r="S80" i="9"/>
  <c r="R80" i="9"/>
  <c r="Q80" i="9"/>
  <c r="P80" i="9"/>
  <c r="O80" i="9"/>
  <c r="N80" i="9"/>
  <c r="M80" i="9"/>
  <c r="L80" i="9"/>
  <c r="K80" i="9"/>
  <c r="J80" i="9"/>
  <c r="I80" i="9"/>
  <c r="H80" i="9"/>
  <c r="G80" i="9"/>
  <c r="F80" i="9"/>
  <c r="E80" i="9"/>
  <c r="D80" i="9"/>
  <c r="C80" i="9"/>
  <c r="AZ79" i="9"/>
  <c r="AY79" i="9"/>
  <c r="AX79" i="9"/>
  <c r="AW79" i="9"/>
  <c r="AV79" i="9"/>
  <c r="AU79" i="9"/>
  <c r="AT79" i="9"/>
  <c r="AS79" i="9"/>
  <c r="AR79" i="9"/>
  <c r="AQ79" i="9"/>
  <c r="AP79" i="9"/>
  <c r="AO79" i="9"/>
  <c r="AN79" i="9"/>
  <c r="AM79" i="9"/>
  <c r="AL79" i="9"/>
  <c r="AK79" i="9"/>
  <c r="AJ79" i="9"/>
  <c r="AI79" i="9"/>
  <c r="AH79" i="9"/>
  <c r="AG79" i="9"/>
  <c r="AF79" i="9"/>
  <c r="AE79" i="9"/>
  <c r="AD79" i="9"/>
  <c r="AC79" i="9"/>
  <c r="AB79" i="9"/>
  <c r="AA79" i="9"/>
  <c r="Z79" i="9"/>
  <c r="Y79" i="9"/>
  <c r="X79" i="9"/>
  <c r="W79" i="9"/>
  <c r="V79" i="9"/>
  <c r="U79" i="9"/>
  <c r="T79" i="9"/>
  <c r="S79" i="9"/>
  <c r="R79" i="9"/>
  <c r="Q79" i="9"/>
  <c r="P79" i="9"/>
  <c r="O79" i="9"/>
  <c r="N79" i="9"/>
  <c r="M79" i="9"/>
  <c r="L79" i="9"/>
  <c r="K79" i="9"/>
  <c r="J79" i="9"/>
  <c r="I79" i="9"/>
  <c r="H79" i="9"/>
  <c r="G79" i="9"/>
  <c r="F79" i="9"/>
  <c r="E79" i="9"/>
  <c r="D79" i="9"/>
  <c r="C79" i="9"/>
  <c r="AZ78" i="9"/>
  <c r="AY78" i="9"/>
  <c r="AX78" i="9"/>
  <c r="AW78" i="9"/>
  <c r="AV78" i="9"/>
  <c r="AU78" i="9"/>
  <c r="AT78" i="9"/>
  <c r="AS78" i="9"/>
  <c r="AR78" i="9"/>
  <c r="AQ78" i="9"/>
  <c r="AP78" i="9"/>
  <c r="AO78" i="9"/>
  <c r="AN78" i="9"/>
  <c r="AM78" i="9"/>
  <c r="AL78" i="9"/>
  <c r="AK78" i="9"/>
  <c r="AJ78" i="9"/>
  <c r="AI78" i="9"/>
  <c r="AH78" i="9"/>
  <c r="AG78" i="9"/>
  <c r="AF78" i="9"/>
  <c r="AE78" i="9"/>
  <c r="AD78" i="9"/>
  <c r="AC78" i="9"/>
  <c r="AB78" i="9"/>
  <c r="AA78" i="9"/>
  <c r="Z78" i="9"/>
  <c r="Y78" i="9"/>
  <c r="X78" i="9"/>
  <c r="W78" i="9"/>
  <c r="V78" i="9"/>
  <c r="U78" i="9"/>
  <c r="T78" i="9"/>
  <c r="S78" i="9"/>
  <c r="R78" i="9"/>
  <c r="Q78" i="9"/>
  <c r="P78" i="9"/>
  <c r="O78" i="9"/>
  <c r="N78" i="9"/>
  <c r="M78" i="9"/>
  <c r="L78" i="9"/>
  <c r="K78" i="9"/>
  <c r="J78" i="9"/>
  <c r="I78" i="9"/>
  <c r="H78" i="9"/>
  <c r="G78" i="9"/>
  <c r="F78" i="9"/>
  <c r="E78" i="9"/>
  <c r="D78" i="9"/>
  <c r="C78" i="9"/>
  <c r="AZ77" i="9"/>
  <c r="AY77" i="9"/>
  <c r="AX77" i="9"/>
  <c r="AW77" i="9"/>
  <c r="AV77" i="9"/>
  <c r="AU77" i="9"/>
  <c r="AT77" i="9"/>
  <c r="AS77" i="9"/>
  <c r="AR77" i="9"/>
  <c r="AQ77" i="9"/>
  <c r="AP77" i="9"/>
  <c r="AO77" i="9"/>
  <c r="AN77" i="9"/>
  <c r="AM77" i="9"/>
  <c r="AL77" i="9"/>
  <c r="AK77" i="9"/>
  <c r="AJ77" i="9"/>
  <c r="AI77" i="9"/>
  <c r="AH77" i="9"/>
  <c r="AG77" i="9"/>
  <c r="AF77" i="9"/>
  <c r="AE77" i="9"/>
  <c r="AD77" i="9"/>
  <c r="AC77" i="9"/>
  <c r="AB77" i="9"/>
  <c r="AA77" i="9"/>
  <c r="Z77" i="9"/>
  <c r="Y77" i="9"/>
  <c r="X77" i="9"/>
  <c r="W77" i="9"/>
  <c r="V77" i="9"/>
  <c r="U77" i="9"/>
  <c r="T77" i="9"/>
  <c r="S77" i="9"/>
  <c r="R77" i="9"/>
  <c r="Q77" i="9"/>
  <c r="P77" i="9"/>
  <c r="O77" i="9"/>
  <c r="N77" i="9"/>
  <c r="M77" i="9"/>
  <c r="L77" i="9"/>
  <c r="K77" i="9"/>
  <c r="J77" i="9"/>
  <c r="I77" i="9"/>
  <c r="H77" i="9"/>
  <c r="G77" i="9"/>
  <c r="F77" i="9"/>
  <c r="E77" i="9"/>
  <c r="D77" i="9"/>
  <c r="C77" i="9"/>
  <c r="AZ76" i="9"/>
  <c r="AY76" i="9"/>
  <c r="AX76" i="9"/>
  <c r="AW76" i="9"/>
  <c r="AV76" i="9"/>
  <c r="AU76" i="9"/>
  <c r="AT76" i="9"/>
  <c r="AS76" i="9"/>
  <c r="AR76" i="9"/>
  <c r="AQ76" i="9"/>
  <c r="AP76" i="9"/>
  <c r="AO76" i="9"/>
  <c r="AN76" i="9"/>
  <c r="AM76" i="9"/>
  <c r="AL76" i="9"/>
  <c r="AK76" i="9"/>
  <c r="AJ76" i="9"/>
  <c r="AI76" i="9"/>
  <c r="AH76" i="9"/>
  <c r="AG76" i="9"/>
  <c r="AF76" i="9"/>
  <c r="AE76" i="9"/>
  <c r="AD76" i="9"/>
  <c r="AC76" i="9"/>
  <c r="AB76" i="9"/>
  <c r="AA76" i="9"/>
  <c r="Z76" i="9"/>
  <c r="Y76" i="9"/>
  <c r="X76" i="9"/>
  <c r="W76" i="9"/>
  <c r="V76" i="9"/>
  <c r="U76" i="9"/>
  <c r="T76" i="9"/>
  <c r="S76" i="9"/>
  <c r="R76" i="9"/>
  <c r="Q76" i="9"/>
  <c r="P76" i="9"/>
  <c r="O76" i="9"/>
  <c r="N76" i="9"/>
  <c r="M76" i="9"/>
  <c r="L76" i="9"/>
  <c r="K76" i="9"/>
  <c r="J76" i="9"/>
  <c r="I76" i="9"/>
  <c r="H76" i="9"/>
  <c r="G76" i="9"/>
  <c r="F76" i="9"/>
  <c r="E76" i="9"/>
  <c r="D76" i="9"/>
  <c r="C76" i="9"/>
  <c r="AZ75" i="9"/>
  <c r="AY75" i="9"/>
  <c r="AX75" i="9"/>
  <c r="AW75" i="9"/>
  <c r="AV75" i="9"/>
  <c r="AU75" i="9"/>
  <c r="AT75" i="9"/>
  <c r="AS75" i="9"/>
  <c r="AR75" i="9"/>
  <c r="AQ75" i="9"/>
  <c r="AP75" i="9"/>
  <c r="AO75" i="9"/>
  <c r="AN75" i="9"/>
  <c r="AM75" i="9"/>
  <c r="AL75" i="9"/>
  <c r="AK75" i="9"/>
  <c r="AJ75" i="9"/>
  <c r="AI75" i="9"/>
  <c r="AH75" i="9"/>
  <c r="AG75" i="9"/>
  <c r="AF75" i="9"/>
  <c r="AE75" i="9"/>
  <c r="AD75" i="9"/>
  <c r="AC75" i="9"/>
  <c r="AB75" i="9"/>
  <c r="AA75" i="9"/>
  <c r="Z75" i="9"/>
  <c r="Y75" i="9"/>
  <c r="X75" i="9"/>
  <c r="W75" i="9"/>
  <c r="V75" i="9"/>
  <c r="U75" i="9"/>
  <c r="T75" i="9"/>
  <c r="S75" i="9"/>
  <c r="R75" i="9"/>
  <c r="Q75" i="9"/>
  <c r="P75" i="9"/>
  <c r="O75" i="9"/>
  <c r="N75" i="9"/>
  <c r="M75" i="9"/>
  <c r="L75" i="9"/>
  <c r="K75" i="9"/>
  <c r="J75" i="9"/>
  <c r="I75" i="9"/>
  <c r="H75" i="9"/>
  <c r="G75" i="9"/>
  <c r="F75" i="9"/>
  <c r="E75" i="9"/>
  <c r="D75" i="9"/>
  <c r="C75" i="9"/>
  <c r="AZ74" i="9"/>
  <c r="AY74" i="9"/>
  <c r="AX74" i="9"/>
  <c r="AW74" i="9"/>
  <c r="AV74" i="9"/>
  <c r="AU74" i="9"/>
  <c r="AT74" i="9"/>
  <c r="AS74" i="9"/>
  <c r="AR74" i="9"/>
  <c r="AQ74" i="9"/>
  <c r="AP74" i="9"/>
  <c r="AO74" i="9"/>
  <c r="AN74" i="9"/>
  <c r="AM74" i="9"/>
  <c r="AL74" i="9"/>
  <c r="AK74" i="9"/>
  <c r="AJ74" i="9"/>
  <c r="AI74" i="9"/>
  <c r="AH74" i="9"/>
  <c r="AG74" i="9"/>
  <c r="AF74" i="9"/>
  <c r="AE74" i="9"/>
  <c r="AD74" i="9"/>
  <c r="AC74" i="9"/>
  <c r="AB74" i="9"/>
  <c r="AA74" i="9"/>
  <c r="Z74" i="9"/>
  <c r="Y74" i="9"/>
  <c r="X74" i="9"/>
  <c r="W74" i="9"/>
  <c r="V74" i="9"/>
  <c r="U74" i="9"/>
  <c r="T74" i="9"/>
  <c r="S74" i="9"/>
  <c r="R74" i="9"/>
  <c r="Q74" i="9"/>
  <c r="P74" i="9"/>
  <c r="O74" i="9"/>
  <c r="N74" i="9"/>
  <c r="M74" i="9"/>
  <c r="L74" i="9"/>
  <c r="K74" i="9"/>
  <c r="J74" i="9"/>
  <c r="I74" i="9"/>
  <c r="H74" i="9"/>
  <c r="G74" i="9"/>
  <c r="F74" i="9"/>
  <c r="E74" i="9"/>
  <c r="D74" i="9"/>
  <c r="C74" i="9"/>
  <c r="AZ73" i="9"/>
  <c r="AY73" i="9"/>
  <c r="AX73" i="9"/>
  <c r="AW73" i="9"/>
  <c r="AV73" i="9"/>
  <c r="AU73" i="9"/>
  <c r="AT73" i="9"/>
  <c r="AS73" i="9"/>
  <c r="AR73" i="9"/>
  <c r="AQ73" i="9"/>
  <c r="AP73" i="9"/>
  <c r="AO73" i="9"/>
  <c r="AN73" i="9"/>
  <c r="AM73" i="9"/>
  <c r="AL73" i="9"/>
  <c r="AK73" i="9"/>
  <c r="AJ73" i="9"/>
  <c r="AI73" i="9"/>
  <c r="AH73" i="9"/>
  <c r="AG73" i="9"/>
  <c r="AF73" i="9"/>
  <c r="AE73" i="9"/>
  <c r="AD73" i="9"/>
  <c r="AC73" i="9"/>
  <c r="AB73" i="9"/>
  <c r="AA73" i="9"/>
  <c r="Z73" i="9"/>
  <c r="Y73" i="9"/>
  <c r="X73" i="9"/>
  <c r="W73" i="9"/>
  <c r="V73" i="9"/>
  <c r="U73" i="9"/>
  <c r="T73" i="9"/>
  <c r="S73" i="9"/>
  <c r="R73" i="9"/>
  <c r="Q73" i="9"/>
  <c r="P73" i="9"/>
  <c r="O73" i="9"/>
  <c r="N73" i="9"/>
  <c r="M73" i="9"/>
  <c r="L73" i="9"/>
  <c r="K73" i="9"/>
  <c r="J73" i="9"/>
  <c r="I73" i="9"/>
  <c r="H73" i="9"/>
  <c r="G73" i="9"/>
  <c r="F73" i="9"/>
  <c r="E73" i="9"/>
  <c r="D73" i="9"/>
  <c r="C73" i="9"/>
  <c r="AZ72" i="9"/>
  <c r="AY72" i="9"/>
  <c r="AX72" i="9"/>
  <c r="AW72" i="9"/>
  <c r="AV72" i="9"/>
  <c r="AU72" i="9"/>
  <c r="AT72" i="9"/>
  <c r="AS72" i="9"/>
  <c r="AR72" i="9"/>
  <c r="AQ72" i="9"/>
  <c r="AP72" i="9"/>
  <c r="AO72" i="9"/>
  <c r="AN72" i="9"/>
  <c r="AM72" i="9"/>
  <c r="AL72" i="9"/>
  <c r="AK72" i="9"/>
  <c r="AJ72" i="9"/>
  <c r="AI72" i="9"/>
  <c r="AH72" i="9"/>
  <c r="AG72" i="9"/>
  <c r="AF72" i="9"/>
  <c r="AE72" i="9"/>
  <c r="AD72" i="9"/>
  <c r="AC72" i="9"/>
  <c r="AB72" i="9"/>
  <c r="AA72" i="9"/>
  <c r="Z72" i="9"/>
  <c r="Y72" i="9"/>
  <c r="X72" i="9"/>
  <c r="W72" i="9"/>
  <c r="V72" i="9"/>
  <c r="U72" i="9"/>
  <c r="T72" i="9"/>
  <c r="S72" i="9"/>
  <c r="R72" i="9"/>
  <c r="Q72" i="9"/>
  <c r="P72" i="9"/>
  <c r="O72" i="9"/>
  <c r="N72" i="9"/>
  <c r="M72" i="9"/>
  <c r="L72" i="9"/>
  <c r="K72" i="9"/>
  <c r="J72" i="9"/>
  <c r="I72" i="9"/>
  <c r="H72" i="9"/>
  <c r="G72" i="9"/>
  <c r="F72" i="9"/>
  <c r="E72" i="9"/>
  <c r="D72" i="9"/>
  <c r="C72" i="9"/>
  <c r="AZ71" i="9"/>
  <c r="AY71" i="9"/>
  <c r="AX71" i="9"/>
  <c r="AW71" i="9"/>
  <c r="AV71" i="9"/>
  <c r="AU71" i="9"/>
  <c r="AT71" i="9"/>
  <c r="AS71" i="9"/>
  <c r="AR71" i="9"/>
  <c r="AQ71" i="9"/>
  <c r="AP71" i="9"/>
  <c r="AO71" i="9"/>
  <c r="AN71" i="9"/>
  <c r="AM71" i="9"/>
  <c r="AL71" i="9"/>
  <c r="AK71" i="9"/>
  <c r="AJ71" i="9"/>
  <c r="AI71" i="9"/>
  <c r="AH71" i="9"/>
  <c r="AG71" i="9"/>
  <c r="AF71" i="9"/>
  <c r="AE71" i="9"/>
  <c r="AD71" i="9"/>
  <c r="AC71" i="9"/>
  <c r="AB71" i="9"/>
  <c r="AA71" i="9"/>
  <c r="Z71" i="9"/>
  <c r="Y71" i="9"/>
  <c r="X71" i="9"/>
  <c r="W71" i="9"/>
  <c r="V71" i="9"/>
  <c r="U71" i="9"/>
  <c r="T71" i="9"/>
  <c r="S71" i="9"/>
  <c r="R71" i="9"/>
  <c r="Q71" i="9"/>
  <c r="P71" i="9"/>
  <c r="O71" i="9"/>
  <c r="N71" i="9"/>
  <c r="M71" i="9"/>
  <c r="L71" i="9"/>
  <c r="K71" i="9"/>
  <c r="J71" i="9"/>
  <c r="I71" i="9"/>
  <c r="H71" i="9"/>
  <c r="G71" i="9"/>
  <c r="F71" i="9"/>
  <c r="E71" i="9"/>
  <c r="D71" i="9"/>
  <c r="C71" i="9"/>
  <c r="AZ70" i="9"/>
  <c r="AY70" i="9"/>
  <c r="AX70" i="9"/>
  <c r="AW70" i="9"/>
  <c r="AV70" i="9"/>
  <c r="AU70" i="9"/>
  <c r="AT70" i="9"/>
  <c r="AS70" i="9"/>
  <c r="AR70" i="9"/>
  <c r="AQ70" i="9"/>
  <c r="AP70" i="9"/>
  <c r="AO70" i="9"/>
  <c r="AN70" i="9"/>
  <c r="AM70" i="9"/>
  <c r="AL70" i="9"/>
  <c r="AK70" i="9"/>
  <c r="AJ70" i="9"/>
  <c r="AI70" i="9"/>
  <c r="AH70" i="9"/>
  <c r="AG70" i="9"/>
  <c r="AF70" i="9"/>
  <c r="AE70" i="9"/>
  <c r="AD70" i="9"/>
  <c r="AC70" i="9"/>
  <c r="AB70" i="9"/>
  <c r="AA70" i="9"/>
  <c r="Z70" i="9"/>
  <c r="Y70" i="9"/>
  <c r="X70" i="9"/>
  <c r="W70" i="9"/>
  <c r="V70" i="9"/>
  <c r="U70" i="9"/>
  <c r="T70" i="9"/>
  <c r="S70" i="9"/>
  <c r="R70" i="9"/>
  <c r="Q70" i="9"/>
  <c r="P70" i="9"/>
  <c r="O70" i="9"/>
  <c r="N70" i="9"/>
  <c r="M70" i="9"/>
  <c r="L70" i="9"/>
  <c r="K70" i="9"/>
  <c r="J70" i="9"/>
  <c r="I70" i="9"/>
  <c r="H70" i="9"/>
  <c r="G70" i="9"/>
  <c r="F70" i="9"/>
  <c r="E70" i="9"/>
  <c r="D70" i="9"/>
  <c r="C70" i="9"/>
  <c r="AZ69" i="9"/>
  <c r="AY69" i="9"/>
  <c r="AX69" i="9"/>
  <c r="AW69" i="9"/>
  <c r="AV69" i="9"/>
  <c r="AU69" i="9"/>
  <c r="AT69" i="9"/>
  <c r="AS69" i="9"/>
  <c r="AR69" i="9"/>
  <c r="AQ69" i="9"/>
  <c r="AP69" i="9"/>
  <c r="AO69" i="9"/>
  <c r="AN69" i="9"/>
  <c r="AM69" i="9"/>
  <c r="AL69" i="9"/>
  <c r="AK69" i="9"/>
  <c r="AJ69" i="9"/>
  <c r="AI69" i="9"/>
  <c r="AH69" i="9"/>
  <c r="AG69" i="9"/>
  <c r="AF69" i="9"/>
  <c r="AE69" i="9"/>
  <c r="AD69" i="9"/>
  <c r="AC69" i="9"/>
  <c r="AB69" i="9"/>
  <c r="AA69" i="9"/>
  <c r="Z69" i="9"/>
  <c r="Y69" i="9"/>
  <c r="X69" i="9"/>
  <c r="W69" i="9"/>
  <c r="V69" i="9"/>
  <c r="U69" i="9"/>
  <c r="T69" i="9"/>
  <c r="S69" i="9"/>
  <c r="R69" i="9"/>
  <c r="Q69" i="9"/>
  <c r="P69" i="9"/>
  <c r="O69" i="9"/>
  <c r="N69" i="9"/>
  <c r="M69" i="9"/>
  <c r="L69" i="9"/>
  <c r="K69" i="9"/>
  <c r="J69" i="9"/>
  <c r="I69" i="9"/>
  <c r="H69" i="9"/>
  <c r="G69" i="9"/>
  <c r="F69" i="9"/>
  <c r="E69" i="9"/>
  <c r="D69" i="9"/>
  <c r="C69" i="9"/>
  <c r="AZ68" i="9"/>
  <c r="AY68" i="9"/>
  <c r="AX68" i="9"/>
  <c r="AW68" i="9"/>
  <c r="AV68" i="9"/>
  <c r="AU68" i="9"/>
  <c r="AT68" i="9"/>
  <c r="AS68" i="9"/>
  <c r="AR68" i="9"/>
  <c r="AQ68" i="9"/>
  <c r="AP68" i="9"/>
  <c r="AO68" i="9"/>
  <c r="AN68" i="9"/>
  <c r="AM68" i="9"/>
  <c r="AL68" i="9"/>
  <c r="AK68" i="9"/>
  <c r="AJ68" i="9"/>
  <c r="AI68" i="9"/>
  <c r="AH68" i="9"/>
  <c r="AG68" i="9"/>
  <c r="AF68" i="9"/>
  <c r="AE68" i="9"/>
  <c r="AD68" i="9"/>
  <c r="AC68" i="9"/>
  <c r="AB68" i="9"/>
  <c r="AA68" i="9"/>
  <c r="Z68" i="9"/>
  <c r="Y68" i="9"/>
  <c r="X68" i="9"/>
  <c r="W68" i="9"/>
  <c r="V68" i="9"/>
  <c r="U68" i="9"/>
  <c r="T68" i="9"/>
  <c r="S68" i="9"/>
  <c r="R68" i="9"/>
  <c r="Q68" i="9"/>
  <c r="P68" i="9"/>
  <c r="O68" i="9"/>
  <c r="N68" i="9"/>
  <c r="M68" i="9"/>
  <c r="L68" i="9"/>
  <c r="K68" i="9"/>
  <c r="J68" i="9"/>
  <c r="I68" i="9"/>
  <c r="H68" i="9"/>
  <c r="G68" i="9"/>
  <c r="F68" i="9"/>
  <c r="E68" i="9"/>
  <c r="D68" i="9"/>
  <c r="C68" i="9"/>
  <c r="AZ67" i="9"/>
  <c r="AY67" i="9"/>
  <c r="AX67" i="9"/>
  <c r="AW67" i="9"/>
  <c r="AV67" i="9"/>
  <c r="AU67" i="9"/>
  <c r="AT67" i="9"/>
  <c r="AS67" i="9"/>
  <c r="AR67" i="9"/>
  <c r="AQ67" i="9"/>
  <c r="AP67" i="9"/>
  <c r="AO67" i="9"/>
  <c r="AN67" i="9"/>
  <c r="AM67" i="9"/>
  <c r="AL67" i="9"/>
  <c r="AK67" i="9"/>
  <c r="AJ67" i="9"/>
  <c r="AI67" i="9"/>
  <c r="AH67" i="9"/>
  <c r="AG67" i="9"/>
  <c r="AF67" i="9"/>
  <c r="AE67" i="9"/>
  <c r="AD67" i="9"/>
  <c r="AC67" i="9"/>
  <c r="AB67" i="9"/>
  <c r="AA67" i="9"/>
  <c r="Z67" i="9"/>
  <c r="Y67" i="9"/>
  <c r="X67" i="9"/>
  <c r="W67" i="9"/>
  <c r="V67" i="9"/>
  <c r="U67" i="9"/>
  <c r="T67" i="9"/>
  <c r="S67" i="9"/>
  <c r="R67" i="9"/>
  <c r="Q67" i="9"/>
  <c r="P67" i="9"/>
  <c r="O67" i="9"/>
  <c r="N67" i="9"/>
  <c r="M67" i="9"/>
  <c r="L67" i="9"/>
  <c r="K67" i="9"/>
  <c r="J67" i="9"/>
  <c r="I67" i="9"/>
  <c r="H67" i="9"/>
  <c r="G67" i="9"/>
  <c r="F67" i="9"/>
  <c r="E67" i="9"/>
  <c r="D67" i="9"/>
  <c r="C67" i="9"/>
  <c r="AZ66" i="9"/>
  <c r="AY66" i="9"/>
  <c r="AX66" i="9"/>
  <c r="AW66" i="9"/>
  <c r="AV66" i="9"/>
  <c r="AU66" i="9"/>
  <c r="AT66" i="9"/>
  <c r="AS66" i="9"/>
  <c r="AR66" i="9"/>
  <c r="AQ66" i="9"/>
  <c r="AP66" i="9"/>
  <c r="AO66" i="9"/>
  <c r="AN66" i="9"/>
  <c r="AM66" i="9"/>
  <c r="AL66" i="9"/>
  <c r="AK66" i="9"/>
  <c r="AJ66" i="9"/>
  <c r="AI66" i="9"/>
  <c r="AH66" i="9"/>
  <c r="AG66" i="9"/>
  <c r="AF66" i="9"/>
  <c r="AE66" i="9"/>
  <c r="AD66" i="9"/>
  <c r="AC66" i="9"/>
  <c r="AB66" i="9"/>
  <c r="AA66" i="9"/>
  <c r="Z66" i="9"/>
  <c r="Y66" i="9"/>
  <c r="X66" i="9"/>
  <c r="W66" i="9"/>
  <c r="V66" i="9"/>
  <c r="U66" i="9"/>
  <c r="T66" i="9"/>
  <c r="S66" i="9"/>
  <c r="R66" i="9"/>
  <c r="Q66" i="9"/>
  <c r="P66" i="9"/>
  <c r="O66" i="9"/>
  <c r="N66" i="9"/>
  <c r="M66" i="9"/>
  <c r="L66" i="9"/>
  <c r="K66" i="9"/>
  <c r="J66" i="9"/>
  <c r="I66" i="9"/>
  <c r="H66" i="9"/>
  <c r="G66" i="9"/>
  <c r="F66" i="9"/>
  <c r="E66" i="9"/>
  <c r="D66" i="9"/>
  <c r="C66" i="9"/>
  <c r="AZ65" i="9"/>
  <c r="AY65" i="9"/>
  <c r="AX65" i="9"/>
  <c r="AW65" i="9"/>
  <c r="AV65" i="9"/>
  <c r="AU65" i="9"/>
  <c r="AT65" i="9"/>
  <c r="AS65" i="9"/>
  <c r="AR65" i="9"/>
  <c r="AQ65" i="9"/>
  <c r="AP65" i="9"/>
  <c r="AO65" i="9"/>
  <c r="AN65" i="9"/>
  <c r="AM65" i="9"/>
  <c r="AL65" i="9"/>
  <c r="AK65" i="9"/>
  <c r="AJ65" i="9"/>
  <c r="AI65" i="9"/>
  <c r="AH65" i="9"/>
  <c r="AG65" i="9"/>
  <c r="AF65" i="9"/>
  <c r="AE65" i="9"/>
  <c r="AD65" i="9"/>
  <c r="AC65" i="9"/>
  <c r="AB65" i="9"/>
  <c r="AA65" i="9"/>
  <c r="Z65" i="9"/>
  <c r="Y65" i="9"/>
  <c r="X65" i="9"/>
  <c r="W65" i="9"/>
  <c r="V65" i="9"/>
  <c r="U65" i="9"/>
  <c r="T65" i="9"/>
  <c r="S65" i="9"/>
  <c r="R65" i="9"/>
  <c r="Q65" i="9"/>
  <c r="P65" i="9"/>
  <c r="O65" i="9"/>
  <c r="N65" i="9"/>
  <c r="M65" i="9"/>
  <c r="L65" i="9"/>
  <c r="K65" i="9"/>
  <c r="J65" i="9"/>
  <c r="I65" i="9"/>
  <c r="H65" i="9"/>
  <c r="G65" i="9"/>
  <c r="F65" i="9"/>
  <c r="E65" i="9"/>
  <c r="D65" i="9"/>
  <c r="C65" i="9"/>
  <c r="AZ64" i="9"/>
  <c r="AY64" i="9"/>
  <c r="AX64" i="9"/>
  <c r="AW64" i="9"/>
  <c r="AV64" i="9"/>
  <c r="AU64" i="9"/>
  <c r="AT64" i="9"/>
  <c r="AS64" i="9"/>
  <c r="AR64" i="9"/>
  <c r="AQ64" i="9"/>
  <c r="AP64" i="9"/>
  <c r="AO64" i="9"/>
  <c r="AN64" i="9"/>
  <c r="AM64" i="9"/>
  <c r="AL64" i="9"/>
  <c r="AK64" i="9"/>
  <c r="AJ64" i="9"/>
  <c r="AI64" i="9"/>
  <c r="AH64" i="9"/>
  <c r="AG64" i="9"/>
  <c r="AF64" i="9"/>
  <c r="AE64" i="9"/>
  <c r="AD64" i="9"/>
  <c r="AC64" i="9"/>
  <c r="AB64" i="9"/>
  <c r="AA64" i="9"/>
  <c r="Z64" i="9"/>
  <c r="Y64" i="9"/>
  <c r="X64" i="9"/>
  <c r="W64" i="9"/>
  <c r="V64" i="9"/>
  <c r="U64" i="9"/>
  <c r="T64" i="9"/>
  <c r="S64" i="9"/>
  <c r="R64" i="9"/>
  <c r="Q64" i="9"/>
  <c r="P64" i="9"/>
  <c r="O64" i="9"/>
  <c r="N64" i="9"/>
  <c r="M64" i="9"/>
  <c r="L64" i="9"/>
  <c r="K64" i="9"/>
  <c r="J64" i="9"/>
  <c r="I64" i="9"/>
  <c r="H64" i="9"/>
  <c r="G64" i="9"/>
  <c r="F64" i="9"/>
  <c r="E64" i="9"/>
  <c r="D64" i="9"/>
  <c r="C64" i="9"/>
  <c r="AZ63" i="9"/>
  <c r="AY63" i="9"/>
  <c r="AX63" i="9"/>
  <c r="AW63" i="9"/>
  <c r="AV63" i="9"/>
  <c r="AU63" i="9"/>
  <c r="AT63" i="9"/>
  <c r="AS63" i="9"/>
  <c r="AR63" i="9"/>
  <c r="AQ63" i="9"/>
  <c r="AP63" i="9"/>
  <c r="AO63" i="9"/>
  <c r="AN63" i="9"/>
  <c r="AM63" i="9"/>
  <c r="AL63" i="9"/>
  <c r="AK63" i="9"/>
  <c r="AJ63" i="9"/>
  <c r="AI63" i="9"/>
  <c r="AH63" i="9"/>
  <c r="AG63" i="9"/>
  <c r="AF63" i="9"/>
  <c r="AE63" i="9"/>
  <c r="AD63" i="9"/>
  <c r="AC63" i="9"/>
  <c r="AB63" i="9"/>
  <c r="AA63" i="9"/>
  <c r="Z63" i="9"/>
  <c r="Y63" i="9"/>
  <c r="X63" i="9"/>
  <c r="W63" i="9"/>
  <c r="V63" i="9"/>
  <c r="U63" i="9"/>
  <c r="T63" i="9"/>
  <c r="S63" i="9"/>
  <c r="R63" i="9"/>
  <c r="Q63" i="9"/>
  <c r="P63" i="9"/>
  <c r="O63" i="9"/>
  <c r="N63" i="9"/>
  <c r="M63" i="9"/>
  <c r="L63" i="9"/>
  <c r="K63" i="9"/>
  <c r="J63" i="9"/>
  <c r="I63" i="9"/>
  <c r="H63" i="9"/>
  <c r="G63" i="9"/>
  <c r="F63" i="9"/>
  <c r="E63" i="9"/>
  <c r="D63" i="9"/>
  <c r="C63" i="9"/>
  <c r="AZ62" i="9"/>
  <c r="AY62" i="9"/>
  <c r="AX62" i="9"/>
  <c r="AW62" i="9"/>
  <c r="AV62" i="9"/>
  <c r="AU62" i="9"/>
  <c r="AT62" i="9"/>
  <c r="AS62" i="9"/>
  <c r="AR62" i="9"/>
  <c r="AQ62" i="9"/>
  <c r="AP62" i="9"/>
  <c r="AO62" i="9"/>
  <c r="AN62" i="9"/>
  <c r="AM62" i="9"/>
  <c r="AL62" i="9"/>
  <c r="AK62" i="9"/>
  <c r="AJ62" i="9"/>
  <c r="AI62" i="9"/>
  <c r="AH62" i="9"/>
  <c r="AG62" i="9"/>
  <c r="AF62" i="9"/>
  <c r="AE62" i="9"/>
  <c r="AD62" i="9"/>
  <c r="AC62" i="9"/>
  <c r="AB62" i="9"/>
  <c r="AA62" i="9"/>
  <c r="Z62" i="9"/>
  <c r="Y62" i="9"/>
  <c r="X62" i="9"/>
  <c r="W62" i="9"/>
  <c r="V62" i="9"/>
  <c r="U62" i="9"/>
  <c r="T62" i="9"/>
  <c r="S62" i="9"/>
  <c r="R62" i="9"/>
  <c r="Q62" i="9"/>
  <c r="P62" i="9"/>
  <c r="O62" i="9"/>
  <c r="N62" i="9"/>
  <c r="M62" i="9"/>
  <c r="L62" i="9"/>
  <c r="K62" i="9"/>
  <c r="J62" i="9"/>
  <c r="I62" i="9"/>
  <c r="H62" i="9"/>
  <c r="G62" i="9"/>
  <c r="F62" i="9"/>
  <c r="E62" i="9"/>
  <c r="D62" i="9"/>
  <c r="C62" i="9"/>
  <c r="AZ61" i="9"/>
  <c r="AY61" i="9"/>
  <c r="AX61" i="9"/>
  <c r="AW61" i="9"/>
  <c r="AV61" i="9"/>
  <c r="AU61" i="9"/>
  <c r="AT61" i="9"/>
  <c r="AS61" i="9"/>
  <c r="AR61" i="9"/>
  <c r="AQ61" i="9"/>
  <c r="AP61" i="9"/>
  <c r="AO61" i="9"/>
  <c r="AN61" i="9"/>
  <c r="AM61" i="9"/>
  <c r="AL61" i="9"/>
  <c r="AK61" i="9"/>
  <c r="AJ61" i="9"/>
  <c r="AI61" i="9"/>
  <c r="AH61" i="9"/>
  <c r="AG61" i="9"/>
  <c r="AF61" i="9"/>
  <c r="AE61" i="9"/>
  <c r="AD61" i="9"/>
  <c r="AC61" i="9"/>
  <c r="AB61" i="9"/>
  <c r="AA61" i="9"/>
  <c r="Z61" i="9"/>
  <c r="Y61" i="9"/>
  <c r="X61" i="9"/>
  <c r="W61" i="9"/>
  <c r="V61" i="9"/>
  <c r="U61" i="9"/>
  <c r="T61" i="9"/>
  <c r="S61" i="9"/>
  <c r="R61" i="9"/>
  <c r="Q61" i="9"/>
  <c r="P61" i="9"/>
  <c r="O61" i="9"/>
  <c r="N61" i="9"/>
  <c r="M61" i="9"/>
  <c r="L61" i="9"/>
  <c r="K61" i="9"/>
  <c r="J61" i="9"/>
  <c r="I61" i="9"/>
  <c r="H61" i="9"/>
  <c r="G61" i="9"/>
  <c r="F61" i="9"/>
  <c r="E61" i="9"/>
  <c r="D61" i="9"/>
  <c r="C61" i="9"/>
  <c r="AZ60" i="9"/>
  <c r="AY60" i="9"/>
  <c r="AX60" i="9"/>
  <c r="AW60" i="9"/>
  <c r="AV60" i="9"/>
  <c r="AU60" i="9"/>
  <c r="AT60" i="9"/>
  <c r="AS60" i="9"/>
  <c r="AR60" i="9"/>
  <c r="AQ60" i="9"/>
  <c r="AP60" i="9"/>
  <c r="AO60" i="9"/>
  <c r="AN60" i="9"/>
  <c r="AM60" i="9"/>
  <c r="AL60" i="9"/>
  <c r="AK60" i="9"/>
  <c r="AJ60" i="9"/>
  <c r="AI60" i="9"/>
  <c r="AH60" i="9"/>
  <c r="AG60" i="9"/>
  <c r="AF60" i="9"/>
  <c r="AE60" i="9"/>
  <c r="AD60" i="9"/>
  <c r="AC60" i="9"/>
  <c r="AB60" i="9"/>
  <c r="AA60" i="9"/>
  <c r="Z60" i="9"/>
  <c r="Y60" i="9"/>
  <c r="X60" i="9"/>
  <c r="W60" i="9"/>
  <c r="V60" i="9"/>
  <c r="U60" i="9"/>
  <c r="T60" i="9"/>
  <c r="S60" i="9"/>
  <c r="R60" i="9"/>
  <c r="Q60" i="9"/>
  <c r="P60" i="9"/>
  <c r="O60" i="9"/>
  <c r="N60" i="9"/>
  <c r="M60" i="9"/>
  <c r="L60" i="9"/>
  <c r="K60" i="9"/>
  <c r="J60" i="9"/>
  <c r="I60" i="9"/>
  <c r="H60" i="9"/>
  <c r="G60" i="9"/>
  <c r="F60" i="9"/>
  <c r="E60" i="9"/>
  <c r="D60" i="9"/>
  <c r="C60" i="9"/>
  <c r="AZ59" i="9"/>
  <c r="AY59" i="9"/>
  <c r="AX59" i="9"/>
  <c r="AW59" i="9"/>
  <c r="AV59" i="9"/>
  <c r="AU59" i="9"/>
  <c r="AT59" i="9"/>
  <c r="AS59" i="9"/>
  <c r="AR59" i="9"/>
  <c r="AQ59" i="9"/>
  <c r="AP59" i="9"/>
  <c r="AO59" i="9"/>
  <c r="AN59" i="9"/>
  <c r="AM59" i="9"/>
  <c r="AL59" i="9"/>
  <c r="AK59" i="9"/>
  <c r="AJ59" i="9"/>
  <c r="AI59" i="9"/>
  <c r="AH59" i="9"/>
  <c r="AG59" i="9"/>
  <c r="AF59" i="9"/>
  <c r="AE59" i="9"/>
  <c r="AD59" i="9"/>
  <c r="AC59" i="9"/>
  <c r="AB59" i="9"/>
  <c r="AA59" i="9"/>
  <c r="Z59" i="9"/>
  <c r="Y59" i="9"/>
  <c r="X59" i="9"/>
  <c r="W59" i="9"/>
  <c r="V59" i="9"/>
  <c r="U59" i="9"/>
  <c r="T59" i="9"/>
  <c r="S59" i="9"/>
  <c r="R59" i="9"/>
  <c r="Q59" i="9"/>
  <c r="P59" i="9"/>
  <c r="O59" i="9"/>
  <c r="N59" i="9"/>
  <c r="M59" i="9"/>
  <c r="L59" i="9"/>
  <c r="K59" i="9"/>
  <c r="J59" i="9"/>
  <c r="I59" i="9"/>
  <c r="H59" i="9"/>
  <c r="G59" i="9"/>
  <c r="F59" i="9"/>
  <c r="E59" i="9"/>
  <c r="D59" i="9"/>
  <c r="C59" i="9"/>
  <c r="AZ58" i="9"/>
  <c r="AY58" i="9"/>
  <c r="AX58" i="9"/>
  <c r="AW58" i="9"/>
  <c r="AV58" i="9"/>
  <c r="AU58" i="9"/>
  <c r="AT58" i="9"/>
  <c r="AS58" i="9"/>
  <c r="AR58" i="9"/>
  <c r="AQ58" i="9"/>
  <c r="AP58" i="9"/>
  <c r="AO58" i="9"/>
  <c r="AN58" i="9"/>
  <c r="AM58" i="9"/>
  <c r="AL58" i="9"/>
  <c r="AK58" i="9"/>
  <c r="AJ58" i="9"/>
  <c r="AI58" i="9"/>
  <c r="AH58" i="9"/>
  <c r="AG58" i="9"/>
  <c r="AF58" i="9"/>
  <c r="AE58" i="9"/>
  <c r="AD58" i="9"/>
  <c r="AC58" i="9"/>
  <c r="AB58" i="9"/>
  <c r="AA58" i="9"/>
  <c r="Z58" i="9"/>
  <c r="Y58" i="9"/>
  <c r="X58" i="9"/>
  <c r="W58" i="9"/>
  <c r="V58" i="9"/>
  <c r="U58" i="9"/>
  <c r="T58" i="9"/>
  <c r="S58" i="9"/>
  <c r="R58" i="9"/>
  <c r="Q58" i="9"/>
  <c r="P58" i="9"/>
  <c r="O58" i="9"/>
  <c r="N58" i="9"/>
  <c r="M58" i="9"/>
  <c r="L58" i="9"/>
  <c r="K58" i="9"/>
  <c r="J58" i="9"/>
  <c r="I58" i="9"/>
  <c r="H58" i="9"/>
  <c r="G58" i="9"/>
  <c r="F58" i="9"/>
  <c r="E58" i="9"/>
  <c r="D58" i="9"/>
  <c r="C58" i="9"/>
  <c r="AZ57" i="9"/>
  <c r="AY57" i="9"/>
  <c r="AX57" i="9"/>
  <c r="AW57" i="9"/>
  <c r="AV57" i="9"/>
  <c r="AU57" i="9"/>
  <c r="AT57" i="9"/>
  <c r="AS57" i="9"/>
  <c r="AR57" i="9"/>
  <c r="AQ57" i="9"/>
  <c r="AP57" i="9"/>
  <c r="AO57" i="9"/>
  <c r="AN57" i="9"/>
  <c r="AM57" i="9"/>
  <c r="AL57" i="9"/>
  <c r="AK57" i="9"/>
  <c r="AJ57" i="9"/>
  <c r="AI57" i="9"/>
  <c r="AH57" i="9"/>
  <c r="AG57" i="9"/>
  <c r="AF57" i="9"/>
  <c r="AE57" i="9"/>
  <c r="AD57" i="9"/>
  <c r="AC57" i="9"/>
  <c r="AB57" i="9"/>
  <c r="AA57" i="9"/>
  <c r="Z57" i="9"/>
  <c r="Y57" i="9"/>
  <c r="X57" i="9"/>
  <c r="W57" i="9"/>
  <c r="V57" i="9"/>
  <c r="U57" i="9"/>
  <c r="T57" i="9"/>
  <c r="S57" i="9"/>
  <c r="R57" i="9"/>
  <c r="Q57" i="9"/>
  <c r="P57" i="9"/>
  <c r="O57" i="9"/>
  <c r="N57" i="9"/>
  <c r="M57" i="9"/>
  <c r="L57" i="9"/>
  <c r="K57" i="9"/>
  <c r="J57" i="9"/>
  <c r="I57" i="9"/>
  <c r="H57" i="9"/>
  <c r="G57" i="9"/>
  <c r="F57" i="9"/>
  <c r="E57" i="9"/>
  <c r="D57" i="9"/>
  <c r="C57" i="9"/>
  <c r="AZ56" i="9"/>
  <c r="AY56" i="9"/>
  <c r="AX56" i="9"/>
  <c r="AW56" i="9"/>
  <c r="AV56" i="9"/>
  <c r="AU56" i="9"/>
  <c r="AT56" i="9"/>
  <c r="AS56" i="9"/>
  <c r="AR56" i="9"/>
  <c r="AQ56" i="9"/>
  <c r="AP56" i="9"/>
  <c r="AO56" i="9"/>
  <c r="AN56" i="9"/>
  <c r="AM56" i="9"/>
  <c r="AL56" i="9"/>
  <c r="AK56" i="9"/>
  <c r="AJ56" i="9"/>
  <c r="AI56" i="9"/>
  <c r="AH56" i="9"/>
  <c r="AG56" i="9"/>
  <c r="AF56" i="9"/>
  <c r="AE56" i="9"/>
  <c r="AD56" i="9"/>
  <c r="AC56" i="9"/>
  <c r="AB56" i="9"/>
  <c r="AA56" i="9"/>
  <c r="Z56" i="9"/>
  <c r="Y56" i="9"/>
  <c r="X56" i="9"/>
  <c r="W56" i="9"/>
  <c r="V56" i="9"/>
  <c r="U56" i="9"/>
  <c r="T56" i="9"/>
  <c r="S56" i="9"/>
  <c r="R56" i="9"/>
  <c r="Q56" i="9"/>
  <c r="P56" i="9"/>
  <c r="O56" i="9"/>
  <c r="N56" i="9"/>
  <c r="M56" i="9"/>
  <c r="L56" i="9"/>
  <c r="K56" i="9"/>
  <c r="J56" i="9"/>
  <c r="I56" i="9"/>
  <c r="H56" i="9"/>
  <c r="G56" i="9"/>
  <c r="F56" i="9"/>
  <c r="E56" i="9"/>
  <c r="D56" i="9"/>
  <c r="C56" i="9"/>
  <c r="AZ55" i="9"/>
  <c r="AY55" i="9"/>
  <c r="AX55" i="9"/>
  <c r="AW55" i="9"/>
  <c r="AV55" i="9"/>
  <c r="AU55" i="9"/>
  <c r="AT55" i="9"/>
  <c r="AS55" i="9"/>
  <c r="AR55" i="9"/>
  <c r="AQ55" i="9"/>
  <c r="AP55" i="9"/>
  <c r="AO55" i="9"/>
  <c r="AN55" i="9"/>
  <c r="AM55" i="9"/>
  <c r="AL55" i="9"/>
  <c r="AK55" i="9"/>
  <c r="AJ55" i="9"/>
  <c r="AI55" i="9"/>
  <c r="AH55" i="9"/>
  <c r="AG55" i="9"/>
  <c r="AF55" i="9"/>
  <c r="AE55" i="9"/>
  <c r="AD55" i="9"/>
  <c r="AC55" i="9"/>
  <c r="AB55" i="9"/>
  <c r="AA55" i="9"/>
  <c r="Z55" i="9"/>
  <c r="Y55" i="9"/>
  <c r="X55" i="9"/>
  <c r="W55" i="9"/>
  <c r="V55" i="9"/>
  <c r="U55" i="9"/>
  <c r="T55" i="9"/>
  <c r="S55" i="9"/>
  <c r="R55" i="9"/>
  <c r="Q55" i="9"/>
  <c r="P55" i="9"/>
  <c r="O55" i="9"/>
  <c r="N55" i="9"/>
  <c r="M55" i="9"/>
  <c r="L55" i="9"/>
  <c r="K55" i="9"/>
  <c r="J55" i="9"/>
  <c r="I55" i="9"/>
  <c r="H55" i="9"/>
  <c r="G55" i="9"/>
  <c r="F55" i="9"/>
  <c r="E55" i="9"/>
  <c r="D55" i="9"/>
  <c r="C55" i="9"/>
  <c r="AZ54" i="9"/>
  <c r="AY54" i="9"/>
  <c r="AX54" i="9"/>
  <c r="AW54" i="9"/>
  <c r="AV54" i="9"/>
  <c r="AU54" i="9"/>
  <c r="AT54" i="9"/>
  <c r="AS54" i="9"/>
  <c r="AR54" i="9"/>
  <c r="AQ54" i="9"/>
  <c r="AP54" i="9"/>
  <c r="AO54" i="9"/>
  <c r="AN54" i="9"/>
  <c r="AM54" i="9"/>
  <c r="AL54" i="9"/>
  <c r="AK54" i="9"/>
  <c r="AJ54" i="9"/>
  <c r="AI54" i="9"/>
  <c r="AH54" i="9"/>
  <c r="AG54" i="9"/>
  <c r="AF54" i="9"/>
  <c r="AE54" i="9"/>
  <c r="AD54" i="9"/>
  <c r="AC54" i="9"/>
  <c r="AB54" i="9"/>
  <c r="AA54" i="9"/>
  <c r="Z54" i="9"/>
  <c r="Y54" i="9"/>
  <c r="X54" i="9"/>
  <c r="W54" i="9"/>
  <c r="V54" i="9"/>
  <c r="U54" i="9"/>
  <c r="T54" i="9"/>
  <c r="S54" i="9"/>
  <c r="R54" i="9"/>
  <c r="Q54" i="9"/>
  <c r="P54" i="9"/>
  <c r="O54" i="9"/>
  <c r="N54" i="9"/>
  <c r="M54" i="9"/>
  <c r="L54" i="9"/>
  <c r="K54" i="9"/>
  <c r="J54" i="9"/>
  <c r="I54" i="9"/>
  <c r="H54" i="9"/>
  <c r="G54" i="9"/>
  <c r="F54" i="9"/>
  <c r="E54" i="9"/>
  <c r="D54" i="9"/>
  <c r="C54" i="9"/>
  <c r="AZ53" i="9"/>
  <c r="AY53" i="9"/>
  <c r="AX53" i="9"/>
  <c r="AW53" i="9"/>
  <c r="AV53" i="9"/>
  <c r="AU53" i="9"/>
  <c r="AT53" i="9"/>
  <c r="AS53" i="9"/>
  <c r="AR53" i="9"/>
  <c r="AQ53" i="9"/>
  <c r="AP53" i="9"/>
  <c r="AO53" i="9"/>
  <c r="AN53" i="9"/>
  <c r="AM53" i="9"/>
  <c r="AL53" i="9"/>
  <c r="AK53" i="9"/>
  <c r="AJ53" i="9"/>
  <c r="AI53" i="9"/>
  <c r="AH53" i="9"/>
  <c r="AG53" i="9"/>
  <c r="AF53" i="9"/>
  <c r="AE53" i="9"/>
  <c r="AD53" i="9"/>
  <c r="AC53" i="9"/>
  <c r="AB53" i="9"/>
  <c r="AA53" i="9"/>
  <c r="Z53" i="9"/>
  <c r="Y53" i="9"/>
  <c r="X53" i="9"/>
  <c r="W53" i="9"/>
  <c r="V53" i="9"/>
  <c r="U53" i="9"/>
  <c r="T53" i="9"/>
  <c r="S53" i="9"/>
  <c r="R53" i="9"/>
  <c r="Q53" i="9"/>
  <c r="P53" i="9"/>
  <c r="O53" i="9"/>
  <c r="N53" i="9"/>
  <c r="M53" i="9"/>
  <c r="L53" i="9"/>
  <c r="K53" i="9"/>
  <c r="J53" i="9"/>
  <c r="I53" i="9"/>
  <c r="H53" i="9"/>
  <c r="G53" i="9"/>
  <c r="F53" i="9"/>
  <c r="E53" i="9"/>
  <c r="D53" i="9"/>
  <c r="C53" i="9"/>
  <c r="AZ52" i="9"/>
  <c r="AY52" i="9"/>
  <c r="AX52" i="9"/>
  <c r="AW52" i="9"/>
  <c r="AV52" i="9"/>
  <c r="AU52" i="9"/>
  <c r="AT52" i="9"/>
  <c r="AS52" i="9"/>
  <c r="AR52" i="9"/>
  <c r="AQ52" i="9"/>
  <c r="AP52" i="9"/>
  <c r="AO52" i="9"/>
  <c r="AN52" i="9"/>
  <c r="AM52" i="9"/>
  <c r="AL52" i="9"/>
  <c r="AK52" i="9"/>
  <c r="AJ52" i="9"/>
  <c r="AI52" i="9"/>
  <c r="AH52" i="9"/>
  <c r="AG52" i="9"/>
  <c r="AF52" i="9"/>
  <c r="AE52" i="9"/>
  <c r="AD52" i="9"/>
  <c r="AC52" i="9"/>
  <c r="AB52" i="9"/>
  <c r="AA52" i="9"/>
  <c r="Z52" i="9"/>
  <c r="Y52" i="9"/>
  <c r="X52" i="9"/>
  <c r="W52" i="9"/>
  <c r="V52" i="9"/>
  <c r="U52" i="9"/>
  <c r="T52" i="9"/>
  <c r="S52" i="9"/>
  <c r="R52" i="9"/>
  <c r="Q52" i="9"/>
  <c r="P52" i="9"/>
  <c r="O52" i="9"/>
  <c r="N52" i="9"/>
  <c r="M52" i="9"/>
  <c r="L52" i="9"/>
  <c r="K52" i="9"/>
  <c r="J52" i="9"/>
  <c r="I52" i="9"/>
  <c r="H52" i="9"/>
  <c r="G52" i="9"/>
  <c r="F52" i="9"/>
  <c r="E52" i="9"/>
  <c r="D52" i="9"/>
  <c r="C52" i="9"/>
  <c r="AZ51" i="9"/>
  <c r="AY51" i="9"/>
  <c r="AX51" i="9"/>
  <c r="AW51" i="9"/>
  <c r="AV51" i="9"/>
  <c r="AU51" i="9"/>
  <c r="AT51" i="9"/>
  <c r="AS51" i="9"/>
  <c r="AR51" i="9"/>
  <c r="AQ51" i="9"/>
  <c r="AP51" i="9"/>
  <c r="AO51" i="9"/>
  <c r="AN51" i="9"/>
  <c r="AM51" i="9"/>
  <c r="AL51" i="9"/>
  <c r="AK51" i="9"/>
  <c r="AJ51" i="9"/>
  <c r="AI51" i="9"/>
  <c r="AH51" i="9"/>
  <c r="AG51" i="9"/>
  <c r="AF51" i="9"/>
  <c r="AE51" i="9"/>
  <c r="AD51" i="9"/>
  <c r="AC51" i="9"/>
  <c r="AB51" i="9"/>
  <c r="AA51" i="9"/>
  <c r="Z51" i="9"/>
  <c r="Y51" i="9"/>
  <c r="X51" i="9"/>
  <c r="W51" i="9"/>
  <c r="V51" i="9"/>
  <c r="U51" i="9"/>
  <c r="T51" i="9"/>
  <c r="S51" i="9"/>
  <c r="R51" i="9"/>
  <c r="Q51" i="9"/>
  <c r="P51" i="9"/>
  <c r="O51" i="9"/>
  <c r="N51" i="9"/>
  <c r="M51" i="9"/>
  <c r="L51" i="9"/>
  <c r="K51" i="9"/>
  <c r="J51" i="9"/>
  <c r="I51" i="9"/>
  <c r="H51" i="9"/>
  <c r="G51" i="9"/>
  <c r="F51" i="9"/>
  <c r="E51" i="9"/>
  <c r="D51" i="9"/>
  <c r="C51" i="9"/>
  <c r="AZ50" i="9"/>
  <c r="AY50" i="9"/>
  <c r="AX50" i="9"/>
  <c r="AW50" i="9"/>
  <c r="AV50" i="9"/>
  <c r="AU50" i="9"/>
  <c r="AT50" i="9"/>
  <c r="AS50" i="9"/>
  <c r="AR50" i="9"/>
  <c r="AQ50" i="9"/>
  <c r="AP50" i="9"/>
  <c r="AO50" i="9"/>
  <c r="AN50" i="9"/>
  <c r="AM50" i="9"/>
  <c r="AL50" i="9"/>
  <c r="AK50" i="9"/>
  <c r="AJ50" i="9"/>
  <c r="AI50" i="9"/>
  <c r="AH50" i="9"/>
  <c r="AG50" i="9"/>
  <c r="AF50" i="9"/>
  <c r="AE50" i="9"/>
  <c r="AD50" i="9"/>
  <c r="AC50" i="9"/>
  <c r="AB50" i="9"/>
  <c r="AA50" i="9"/>
  <c r="Z50" i="9"/>
  <c r="Y50" i="9"/>
  <c r="X50" i="9"/>
  <c r="W50" i="9"/>
  <c r="V50" i="9"/>
  <c r="U50" i="9"/>
  <c r="T50" i="9"/>
  <c r="S50" i="9"/>
  <c r="R50" i="9"/>
  <c r="Q50" i="9"/>
  <c r="P50" i="9"/>
  <c r="O50" i="9"/>
  <c r="N50" i="9"/>
  <c r="M50" i="9"/>
  <c r="L50" i="9"/>
  <c r="K50" i="9"/>
  <c r="J50" i="9"/>
  <c r="I50" i="9"/>
  <c r="H50" i="9"/>
  <c r="G50" i="9"/>
  <c r="F50" i="9"/>
  <c r="E50" i="9"/>
  <c r="D50" i="9"/>
  <c r="C50" i="9"/>
  <c r="AZ49" i="9"/>
  <c r="AY49" i="9"/>
  <c r="AX49" i="9"/>
  <c r="AW49" i="9"/>
  <c r="AV49" i="9"/>
  <c r="AU49" i="9"/>
  <c r="AT49" i="9"/>
  <c r="AS49" i="9"/>
  <c r="AR49" i="9"/>
  <c r="AQ49" i="9"/>
  <c r="AP49" i="9"/>
  <c r="AO49" i="9"/>
  <c r="AN49" i="9"/>
  <c r="AM49" i="9"/>
  <c r="AL49" i="9"/>
  <c r="AK49" i="9"/>
  <c r="AJ49" i="9"/>
  <c r="AI49" i="9"/>
  <c r="AH49" i="9"/>
  <c r="AG49" i="9"/>
  <c r="AF49" i="9"/>
  <c r="AE49" i="9"/>
  <c r="AD49" i="9"/>
  <c r="AC49" i="9"/>
  <c r="AB49" i="9"/>
  <c r="AA49" i="9"/>
  <c r="Z49" i="9"/>
  <c r="Y49" i="9"/>
  <c r="X49" i="9"/>
  <c r="W49" i="9"/>
  <c r="V49" i="9"/>
  <c r="U49" i="9"/>
  <c r="T49" i="9"/>
  <c r="S49" i="9"/>
  <c r="R49" i="9"/>
  <c r="Q49" i="9"/>
  <c r="P49" i="9"/>
  <c r="O49" i="9"/>
  <c r="N49" i="9"/>
  <c r="M49" i="9"/>
  <c r="L49" i="9"/>
  <c r="K49" i="9"/>
  <c r="J49" i="9"/>
  <c r="I49" i="9"/>
  <c r="H49" i="9"/>
  <c r="G49" i="9"/>
  <c r="F49" i="9"/>
  <c r="E49" i="9"/>
  <c r="D49" i="9"/>
  <c r="C49" i="9"/>
  <c r="AZ48" i="9"/>
  <c r="AY48" i="9"/>
  <c r="AX48" i="9"/>
  <c r="AW48" i="9"/>
  <c r="AV48" i="9"/>
  <c r="AU48" i="9"/>
  <c r="AT48" i="9"/>
  <c r="AS48" i="9"/>
  <c r="AR48" i="9"/>
  <c r="AQ48" i="9"/>
  <c r="AP48" i="9"/>
  <c r="AO48" i="9"/>
  <c r="AN48" i="9"/>
  <c r="AM48" i="9"/>
  <c r="AL48" i="9"/>
  <c r="AK48" i="9"/>
  <c r="AJ48" i="9"/>
  <c r="AI48" i="9"/>
  <c r="AH48" i="9"/>
  <c r="AG48" i="9"/>
  <c r="AF48" i="9"/>
  <c r="AE48" i="9"/>
  <c r="AD48" i="9"/>
  <c r="AC48" i="9"/>
  <c r="AB48" i="9"/>
  <c r="AA48" i="9"/>
  <c r="Z48" i="9"/>
  <c r="Y48" i="9"/>
  <c r="X48" i="9"/>
  <c r="W48" i="9"/>
  <c r="V48" i="9"/>
  <c r="U48" i="9"/>
  <c r="T48" i="9"/>
  <c r="S48" i="9"/>
  <c r="R48" i="9"/>
  <c r="Q48" i="9"/>
  <c r="P48" i="9"/>
  <c r="O48" i="9"/>
  <c r="N48" i="9"/>
  <c r="M48" i="9"/>
  <c r="L48" i="9"/>
  <c r="K48" i="9"/>
  <c r="J48" i="9"/>
  <c r="I48" i="9"/>
  <c r="H48" i="9"/>
  <c r="G48" i="9"/>
  <c r="F48" i="9"/>
  <c r="E48" i="9"/>
  <c r="D48" i="9"/>
  <c r="C48" i="9"/>
  <c r="AZ47" i="9"/>
  <c r="AY47" i="9"/>
  <c r="AX47" i="9"/>
  <c r="AW47" i="9"/>
  <c r="AV47" i="9"/>
  <c r="AU47" i="9"/>
  <c r="AT47" i="9"/>
  <c r="AS47" i="9"/>
  <c r="AR47" i="9"/>
  <c r="AQ47" i="9"/>
  <c r="AP47" i="9"/>
  <c r="AO47" i="9"/>
  <c r="AN47" i="9"/>
  <c r="AM47" i="9"/>
  <c r="AL47" i="9"/>
  <c r="AK47" i="9"/>
  <c r="AJ47" i="9"/>
  <c r="AI47" i="9"/>
  <c r="AH47" i="9"/>
  <c r="AG47" i="9"/>
  <c r="AF47" i="9"/>
  <c r="AE47" i="9"/>
  <c r="AD47" i="9"/>
  <c r="AC47" i="9"/>
  <c r="AB47" i="9"/>
  <c r="AA47" i="9"/>
  <c r="Z47" i="9"/>
  <c r="Y47" i="9"/>
  <c r="X47" i="9"/>
  <c r="W47" i="9"/>
  <c r="V47" i="9"/>
  <c r="U47" i="9"/>
  <c r="T47" i="9"/>
  <c r="S47" i="9"/>
  <c r="R47" i="9"/>
  <c r="Q47" i="9"/>
  <c r="P47" i="9"/>
  <c r="O47" i="9"/>
  <c r="N47" i="9"/>
  <c r="M47" i="9"/>
  <c r="L47" i="9"/>
  <c r="K47" i="9"/>
  <c r="J47" i="9"/>
  <c r="I47" i="9"/>
  <c r="H47" i="9"/>
  <c r="G47" i="9"/>
  <c r="F47" i="9"/>
  <c r="E47" i="9"/>
  <c r="D47" i="9"/>
  <c r="C47" i="9"/>
  <c r="AZ46" i="9"/>
  <c r="AY46" i="9"/>
  <c r="AX46" i="9"/>
  <c r="AW46" i="9"/>
  <c r="AV46" i="9"/>
  <c r="AU46" i="9"/>
  <c r="AT46" i="9"/>
  <c r="AS46" i="9"/>
  <c r="AR46" i="9"/>
  <c r="AQ46" i="9"/>
  <c r="AP46" i="9"/>
  <c r="AO46" i="9"/>
  <c r="AN46" i="9"/>
  <c r="AM46" i="9"/>
  <c r="AL46" i="9"/>
  <c r="AK46" i="9"/>
  <c r="AJ46" i="9"/>
  <c r="AI46" i="9"/>
  <c r="AH46" i="9"/>
  <c r="AG46" i="9"/>
  <c r="AF46" i="9"/>
  <c r="AE46" i="9"/>
  <c r="AD46" i="9"/>
  <c r="AC46" i="9"/>
  <c r="AB46" i="9"/>
  <c r="AA46" i="9"/>
  <c r="Z46" i="9"/>
  <c r="Y46" i="9"/>
  <c r="X46" i="9"/>
  <c r="W46" i="9"/>
  <c r="V46" i="9"/>
  <c r="U46" i="9"/>
  <c r="T46" i="9"/>
  <c r="S46" i="9"/>
  <c r="R46" i="9"/>
  <c r="Q46" i="9"/>
  <c r="P46" i="9"/>
  <c r="O46" i="9"/>
  <c r="N46" i="9"/>
  <c r="M46" i="9"/>
  <c r="L46" i="9"/>
  <c r="K46" i="9"/>
  <c r="J46" i="9"/>
  <c r="I46" i="9"/>
  <c r="H46" i="9"/>
  <c r="G46" i="9"/>
  <c r="F46" i="9"/>
  <c r="E46" i="9"/>
  <c r="D46" i="9"/>
  <c r="C46" i="9"/>
  <c r="AZ45" i="9"/>
  <c r="AY45" i="9"/>
  <c r="AX45" i="9"/>
  <c r="AW45" i="9"/>
  <c r="AV45" i="9"/>
  <c r="AU45" i="9"/>
  <c r="AT45" i="9"/>
  <c r="AS45" i="9"/>
  <c r="AR45" i="9"/>
  <c r="AQ45" i="9"/>
  <c r="AP45" i="9"/>
  <c r="AO45" i="9"/>
  <c r="AN45" i="9"/>
  <c r="AM45" i="9"/>
  <c r="AL45" i="9"/>
  <c r="AK45" i="9"/>
  <c r="AJ45" i="9"/>
  <c r="AI45" i="9"/>
  <c r="AH45" i="9"/>
  <c r="AG45" i="9"/>
  <c r="AF45" i="9"/>
  <c r="AE45" i="9"/>
  <c r="AD45" i="9"/>
  <c r="AC45" i="9"/>
  <c r="AB45" i="9"/>
  <c r="AA45" i="9"/>
  <c r="Z45" i="9"/>
  <c r="Y45" i="9"/>
  <c r="X45" i="9"/>
  <c r="W45" i="9"/>
  <c r="V45" i="9"/>
  <c r="U45" i="9"/>
  <c r="T45" i="9"/>
  <c r="S45" i="9"/>
  <c r="R45" i="9"/>
  <c r="Q45" i="9"/>
  <c r="P45" i="9"/>
  <c r="O45" i="9"/>
  <c r="N45" i="9"/>
  <c r="M45" i="9"/>
  <c r="L45" i="9"/>
  <c r="K45" i="9"/>
  <c r="J45" i="9"/>
  <c r="I45" i="9"/>
  <c r="H45" i="9"/>
  <c r="G45" i="9"/>
  <c r="F45" i="9"/>
  <c r="E45" i="9"/>
  <c r="D45" i="9"/>
  <c r="C45" i="9"/>
  <c r="AZ44" i="9"/>
  <c r="AY44" i="9"/>
  <c r="AX44" i="9"/>
  <c r="AW44" i="9"/>
  <c r="AV44" i="9"/>
  <c r="AU44" i="9"/>
  <c r="AT44" i="9"/>
  <c r="AS44" i="9"/>
  <c r="AR44" i="9"/>
  <c r="AQ44" i="9"/>
  <c r="AP44" i="9"/>
  <c r="AO44" i="9"/>
  <c r="AN44" i="9"/>
  <c r="AM44" i="9"/>
  <c r="AL44" i="9"/>
  <c r="AK44" i="9"/>
  <c r="AJ44" i="9"/>
  <c r="AI44" i="9"/>
  <c r="AH44" i="9"/>
  <c r="AG44" i="9"/>
  <c r="AF44" i="9"/>
  <c r="AE44" i="9"/>
  <c r="AD44" i="9"/>
  <c r="AC44" i="9"/>
  <c r="AB44" i="9"/>
  <c r="AA44" i="9"/>
  <c r="Z44" i="9"/>
  <c r="Y44" i="9"/>
  <c r="X44" i="9"/>
  <c r="W44" i="9"/>
  <c r="V44" i="9"/>
  <c r="U44" i="9"/>
  <c r="T44" i="9"/>
  <c r="S44" i="9"/>
  <c r="R44" i="9"/>
  <c r="Q44" i="9"/>
  <c r="P44" i="9"/>
  <c r="O44" i="9"/>
  <c r="N44" i="9"/>
  <c r="M44" i="9"/>
  <c r="L44" i="9"/>
  <c r="K44" i="9"/>
  <c r="J44" i="9"/>
  <c r="I44" i="9"/>
  <c r="H44" i="9"/>
  <c r="G44" i="9"/>
  <c r="F44" i="9"/>
  <c r="E44" i="9"/>
  <c r="D44" i="9"/>
  <c r="C44" i="9"/>
  <c r="AZ43" i="9"/>
  <c r="AY43" i="9"/>
  <c r="AX43" i="9"/>
  <c r="AW43" i="9"/>
  <c r="AV43" i="9"/>
  <c r="AU43" i="9"/>
  <c r="AT43" i="9"/>
  <c r="AS43" i="9"/>
  <c r="AR43" i="9"/>
  <c r="AQ43" i="9"/>
  <c r="AP43" i="9"/>
  <c r="AO43" i="9"/>
  <c r="AN43" i="9"/>
  <c r="AM43" i="9"/>
  <c r="AL43" i="9"/>
  <c r="AK43" i="9"/>
  <c r="AJ43" i="9"/>
  <c r="AI43" i="9"/>
  <c r="AH43" i="9"/>
  <c r="AG43" i="9"/>
  <c r="AF43" i="9"/>
  <c r="AE43" i="9"/>
  <c r="AD43" i="9"/>
  <c r="AC43" i="9"/>
  <c r="AB43" i="9"/>
  <c r="AA43" i="9"/>
  <c r="Z43" i="9"/>
  <c r="Y43" i="9"/>
  <c r="X43" i="9"/>
  <c r="W43" i="9"/>
  <c r="V43" i="9"/>
  <c r="U43" i="9"/>
  <c r="T43" i="9"/>
  <c r="S43" i="9"/>
  <c r="R43" i="9"/>
  <c r="Q43" i="9"/>
  <c r="P43" i="9"/>
  <c r="O43" i="9"/>
  <c r="N43" i="9"/>
  <c r="M43" i="9"/>
  <c r="L43" i="9"/>
  <c r="K43" i="9"/>
  <c r="J43" i="9"/>
  <c r="I43" i="9"/>
  <c r="H43" i="9"/>
  <c r="G43" i="9"/>
  <c r="F43" i="9"/>
  <c r="E43" i="9"/>
  <c r="D43" i="9"/>
  <c r="C43" i="9"/>
  <c r="AZ42" i="9"/>
  <c r="AY42" i="9"/>
  <c r="AX42" i="9"/>
  <c r="AW42" i="9"/>
  <c r="AV42" i="9"/>
  <c r="AU42" i="9"/>
  <c r="AT42" i="9"/>
  <c r="AS42" i="9"/>
  <c r="AR42" i="9"/>
  <c r="AQ42" i="9"/>
  <c r="AP42" i="9"/>
  <c r="AO42" i="9"/>
  <c r="AN42" i="9"/>
  <c r="AM42" i="9"/>
  <c r="AL42" i="9"/>
  <c r="AK42" i="9"/>
  <c r="AJ42" i="9"/>
  <c r="AI42" i="9"/>
  <c r="AH42" i="9"/>
  <c r="AG42" i="9"/>
  <c r="AF42" i="9"/>
  <c r="AE42" i="9"/>
  <c r="AD42" i="9"/>
  <c r="AC42" i="9"/>
  <c r="AB42" i="9"/>
  <c r="AA42" i="9"/>
  <c r="Z42" i="9"/>
  <c r="Y42" i="9"/>
  <c r="X42" i="9"/>
  <c r="W42" i="9"/>
  <c r="V42" i="9"/>
  <c r="U42" i="9"/>
  <c r="T42" i="9"/>
  <c r="S42" i="9"/>
  <c r="R42" i="9"/>
  <c r="Q42" i="9"/>
  <c r="P42" i="9"/>
  <c r="O42" i="9"/>
  <c r="N42" i="9"/>
  <c r="M42" i="9"/>
  <c r="L42" i="9"/>
  <c r="K42" i="9"/>
  <c r="J42" i="9"/>
  <c r="I42" i="9"/>
  <c r="H42" i="9"/>
  <c r="G42" i="9"/>
  <c r="F42" i="9"/>
  <c r="E42" i="9"/>
  <c r="D42" i="9"/>
  <c r="C42" i="9"/>
  <c r="AZ41" i="9"/>
  <c r="AY41" i="9"/>
  <c r="AX41" i="9"/>
  <c r="AW41" i="9"/>
  <c r="AV41" i="9"/>
  <c r="AU41" i="9"/>
  <c r="AT41" i="9"/>
  <c r="AS41" i="9"/>
  <c r="AR41" i="9"/>
  <c r="AQ41" i="9"/>
  <c r="AP41" i="9"/>
  <c r="AO41" i="9"/>
  <c r="AN41" i="9"/>
  <c r="AM41" i="9"/>
  <c r="AL41" i="9"/>
  <c r="AK41" i="9"/>
  <c r="AJ41" i="9"/>
  <c r="AI41" i="9"/>
  <c r="AH41" i="9"/>
  <c r="AG41" i="9"/>
  <c r="AF41" i="9"/>
  <c r="AE41" i="9"/>
  <c r="AD41" i="9"/>
  <c r="AC41" i="9"/>
  <c r="AB41" i="9"/>
  <c r="AA41" i="9"/>
  <c r="Z41" i="9"/>
  <c r="Y41" i="9"/>
  <c r="X41" i="9"/>
  <c r="W41" i="9"/>
  <c r="V41" i="9"/>
  <c r="U41" i="9"/>
  <c r="T41" i="9"/>
  <c r="S41" i="9"/>
  <c r="R41" i="9"/>
  <c r="Q41" i="9"/>
  <c r="P41" i="9"/>
  <c r="O41" i="9"/>
  <c r="N41" i="9"/>
  <c r="M41" i="9"/>
  <c r="L41" i="9"/>
  <c r="K41" i="9"/>
  <c r="J41" i="9"/>
  <c r="I41" i="9"/>
  <c r="H41" i="9"/>
  <c r="G41" i="9"/>
  <c r="F41" i="9"/>
  <c r="E41" i="9"/>
  <c r="D41" i="9"/>
  <c r="C41" i="9"/>
  <c r="AZ40" i="9"/>
  <c r="AY40" i="9"/>
  <c r="AX40" i="9"/>
  <c r="AW40" i="9"/>
  <c r="AV40" i="9"/>
  <c r="AU40" i="9"/>
  <c r="AT40" i="9"/>
  <c r="AS40" i="9"/>
  <c r="AR40" i="9"/>
  <c r="AQ40" i="9"/>
  <c r="AP40" i="9"/>
  <c r="AO40" i="9"/>
  <c r="AN40" i="9"/>
  <c r="AM40" i="9"/>
  <c r="AL40" i="9"/>
  <c r="AK40" i="9"/>
  <c r="AJ40" i="9"/>
  <c r="AI40" i="9"/>
  <c r="AH40" i="9"/>
  <c r="AG40" i="9"/>
  <c r="AF40" i="9"/>
  <c r="AE40" i="9"/>
  <c r="AD40" i="9"/>
  <c r="AC40" i="9"/>
  <c r="AB40" i="9"/>
  <c r="AA40" i="9"/>
  <c r="Z40" i="9"/>
  <c r="Y40" i="9"/>
  <c r="X40" i="9"/>
  <c r="W40" i="9"/>
  <c r="V40" i="9"/>
  <c r="U40" i="9"/>
  <c r="T40" i="9"/>
  <c r="S40" i="9"/>
  <c r="R40" i="9"/>
  <c r="Q40" i="9"/>
  <c r="P40" i="9"/>
  <c r="O40" i="9"/>
  <c r="N40" i="9"/>
  <c r="M40" i="9"/>
  <c r="L40" i="9"/>
  <c r="K40" i="9"/>
  <c r="J40" i="9"/>
  <c r="I40" i="9"/>
  <c r="H40" i="9"/>
  <c r="G40" i="9"/>
  <c r="F40" i="9"/>
  <c r="E40" i="9"/>
  <c r="D40" i="9"/>
  <c r="C40" i="9"/>
  <c r="AZ39" i="9"/>
  <c r="AY39" i="9"/>
  <c r="AX39" i="9"/>
  <c r="AW39" i="9"/>
  <c r="AV39" i="9"/>
  <c r="AU39" i="9"/>
  <c r="AT39" i="9"/>
  <c r="AS39" i="9"/>
  <c r="AR39" i="9"/>
  <c r="AQ39" i="9"/>
  <c r="AP39" i="9"/>
  <c r="AO39" i="9"/>
  <c r="AN39" i="9"/>
  <c r="AM39" i="9"/>
  <c r="AL39" i="9"/>
  <c r="AK39" i="9"/>
  <c r="AJ39" i="9"/>
  <c r="AI39" i="9"/>
  <c r="AH39" i="9"/>
  <c r="AG39" i="9"/>
  <c r="AF39" i="9"/>
  <c r="AE39" i="9"/>
  <c r="AD39" i="9"/>
  <c r="AC39" i="9"/>
  <c r="AB39" i="9"/>
  <c r="AA39" i="9"/>
  <c r="Z39" i="9"/>
  <c r="Y39" i="9"/>
  <c r="X39" i="9"/>
  <c r="W39" i="9"/>
  <c r="V39" i="9"/>
  <c r="U39" i="9"/>
  <c r="T39" i="9"/>
  <c r="S39" i="9"/>
  <c r="R39" i="9"/>
  <c r="Q39" i="9"/>
  <c r="P39" i="9"/>
  <c r="O39" i="9"/>
  <c r="N39" i="9"/>
  <c r="M39" i="9"/>
  <c r="L39" i="9"/>
  <c r="K39" i="9"/>
  <c r="J39" i="9"/>
  <c r="I39" i="9"/>
  <c r="H39" i="9"/>
  <c r="G39" i="9"/>
  <c r="F39" i="9"/>
  <c r="E39" i="9"/>
  <c r="D39" i="9"/>
  <c r="C39" i="9"/>
  <c r="AZ38" i="9"/>
  <c r="AY38" i="9"/>
  <c r="AX38" i="9"/>
  <c r="AW38" i="9"/>
  <c r="AV38" i="9"/>
  <c r="AU38" i="9"/>
  <c r="AT38" i="9"/>
  <c r="AS38" i="9"/>
  <c r="AR38" i="9"/>
  <c r="AQ38" i="9"/>
  <c r="AP38" i="9"/>
  <c r="AO38" i="9"/>
  <c r="AN38" i="9"/>
  <c r="AM38" i="9"/>
  <c r="AL38" i="9"/>
  <c r="AK38" i="9"/>
  <c r="AJ38" i="9"/>
  <c r="AI38" i="9"/>
  <c r="AH38" i="9"/>
  <c r="AG38" i="9"/>
  <c r="AF38" i="9"/>
  <c r="AE38" i="9"/>
  <c r="AD38" i="9"/>
  <c r="AC38" i="9"/>
  <c r="AB38" i="9"/>
  <c r="AA38" i="9"/>
  <c r="Z38" i="9"/>
  <c r="Y38" i="9"/>
  <c r="X38" i="9"/>
  <c r="W38" i="9"/>
  <c r="V38" i="9"/>
  <c r="U38" i="9"/>
  <c r="T38" i="9"/>
  <c r="S38" i="9"/>
  <c r="R38" i="9"/>
  <c r="Q38" i="9"/>
  <c r="P38" i="9"/>
  <c r="O38" i="9"/>
  <c r="N38" i="9"/>
  <c r="M38" i="9"/>
  <c r="L38" i="9"/>
  <c r="K38" i="9"/>
  <c r="J38" i="9"/>
  <c r="I38" i="9"/>
  <c r="H38" i="9"/>
  <c r="G38" i="9"/>
  <c r="F38" i="9"/>
  <c r="E38" i="9"/>
  <c r="D38" i="9"/>
  <c r="C38" i="9"/>
  <c r="AZ37" i="9"/>
  <c r="AY37" i="9"/>
  <c r="AX37" i="9"/>
  <c r="AW37" i="9"/>
  <c r="AV37" i="9"/>
  <c r="AU37" i="9"/>
  <c r="AT37" i="9"/>
  <c r="AS37" i="9"/>
  <c r="AR37" i="9"/>
  <c r="AQ37" i="9"/>
  <c r="AP37" i="9"/>
  <c r="AO37" i="9"/>
  <c r="AN37" i="9"/>
  <c r="AM37" i="9"/>
  <c r="AL37" i="9"/>
  <c r="AK37" i="9"/>
  <c r="AJ37" i="9"/>
  <c r="AI37" i="9"/>
  <c r="AH37" i="9"/>
  <c r="AG37" i="9"/>
  <c r="AF37" i="9"/>
  <c r="AE37" i="9"/>
  <c r="AD37" i="9"/>
  <c r="AC37" i="9"/>
  <c r="AB37" i="9"/>
  <c r="AA37" i="9"/>
  <c r="Z37" i="9"/>
  <c r="Y37" i="9"/>
  <c r="X37" i="9"/>
  <c r="W37" i="9"/>
  <c r="V37" i="9"/>
  <c r="U37" i="9"/>
  <c r="T37" i="9"/>
  <c r="S37" i="9"/>
  <c r="R37" i="9"/>
  <c r="Q37" i="9"/>
  <c r="P37" i="9"/>
  <c r="O37" i="9"/>
  <c r="N37" i="9"/>
  <c r="M37" i="9"/>
  <c r="L37" i="9"/>
  <c r="K37" i="9"/>
  <c r="J37" i="9"/>
  <c r="I37" i="9"/>
  <c r="H37" i="9"/>
  <c r="G37" i="9"/>
  <c r="F37" i="9"/>
  <c r="E37" i="9"/>
  <c r="D37" i="9"/>
  <c r="C37" i="9"/>
  <c r="AZ36" i="9"/>
  <c r="AY36" i="9"/>
  <c r="AX36" i="9"/>
  <c r="AW36" i="9"/>
  <c r="AV36" i="9"/>
  <c r="AU36" i="9"/>
  <c r="AT36" i="9"/>
  <c r="AS36" i="9"/>
  <c r="AR36" i="9"/>
  <c r="AQ36" i="9"/>
  <c r="AP36" i="9"/>
  <c r="AO36" i="9"/>
  <c r="AN36" i="9"/>
  <c r="AM36" i="9"/>
  <c r="AL36" i="9"/>
  <c r="AK36" i="9"/>
  <c r="AJ36" i="9"/>
  <c r="AI36" i="9"/>
  <c r="AH36" i="9"/>
  <c r="AG36" i="9"/>
  <c r="AF36" i="9"/>
  <c r="AE36" i="9"/>
  <c r="AD36" i="9"/>
  <c r="AC36" i="9"/>
  <c r="AB36" i="9"/>
  <c r="AA36" i="9"/>
  <c r="Z36" i="9"/>
  <c r="Y36" i="9"/>
  <c r="X36" i="9"/>
  <c r="W36" i="9"/>
  <c r="V36" i="9"/>
  <c r="U36" i="9"/>
  <c r="T36" i="9"/>
  <c r="S36" i="9"/>
  <c r="R36" i="9"/>
  <c r="Q36" i="9"/>
  <c r="P36" i="9"/>
  <c r="O36" i="9"/>
  <c r="N36" i="9"/>
  <c r="M36" i="9"/>
  <c r="L36" i="9"/>
  <c r="K36" i="9"/>
  <c r="J36" i="9"/>
  <c r="I36" i="9"/>
  <c r="H36" i="9"/>
  <c r="G36" i="9"/>
  <c r="F36" i="9"/>
  <c r="E36" i="9"/>
  <c r="D36" i="9"/>
  <c r="C36" i="9"/>
  <c r="AZ35" i="9"/>
  <c r="AY35" i="9"/>
  <c r="AX35" i="9"/>
  <c r="AW35" i="9"/>
  <c r="AV35" i="9"/>
  <c r="AU35" i="9"/>
  <c r="AT35" i="9"/>
  <c r="AS35" i="9"/>
  <c r="AR35" i="9"/>
  <c r="AQ35" i="9"/>
  <c r="AP35" i="9"/>
  <c r="AO35" i="9"/>
  <c r="AN35" i="9"/>
  <c r="AM35" i="9"/>
  <c r="AL35" i="9"/>
  <c r="AK35" i="9"/>
  <c r="AJ35" i="9"/>
  <c r="AI35" i="9"/>
  <c r="AH35" i="9"/>
  <c r="AG35" i="9"/>
  <c r="AF35" i="9"/>
  <c r="AE35" i="9"/>
  <c r="AD35" i="9"/>
  <c r="AC35" i="9"/>
  <c r="AB35" i="9"/>
  <c r="AA35" i="9"/>
  <c r="Z35" i="9"/>
  <c r="Y35" i="9"/>
  <c r="X35" i="9"/>
  <c r="W35" i="9"/>
  <c r="V35" i="9"/>
  <c r="U35" i="9"/>
  <c r="T35" i="9"/>
  <c r="S35" i="9"/>
  <c r="R35" i="9"/>
  <c r="Q35" i="9"/>
  <c r="P35" i="9"/>
  <c r="O35" i="9"/>
  <c r="N35" i="9"/>
  <c r="M35" i="9"/>
  <c r="L35" i="9"/>
  <c r="K35" i="9"/>
  <c r="J35" i="9"/>
  <c r="I35" i="9"/>
  <c r="H35" i="9"/>
  <c r="G35" i="9"/>
  <c r="F35" i="9"/>
  <c r="E35" i="9"/>
  <c r="D35" i="9"/>
  <c r="C35" i="9"/>
  <c r="AZ34" i="9"/>
  <c r="AY34" i="9"/>
  <c r="AX34" i="9"/>
  <c r="AW34" i="9"/>
  <c r="AV34" i="9"/>
  <c r="AU34" i="9"/>
  <c r="AT34" i="9"/>
  <c r="AS34" i="9"/>
  <c r="AR34" i="9"/>
  <c r="AQ34" i="9"/>
  <c r="AP34" i="9"/>
  <c r="AO34" i="9"/>
  <c r="AN34" i="9"/>
  <c r="AM34" i="9"/>
  <c r="AL34" i="9"/>
  <c r="AK34" i="9"/>
  <c r="AJ34" i="9"/>
  <c r="AI34" i="9"/>
  <c r="AH34" i="9"/>
  <c r="AG34" i="9"/>
  <c r="AF34" i="9"/>
  <c r="AE34" i="9"/>
  <c r="AD34" i="9"/>
  <c r="AC34" i="9"/>
  <c r="AB34" i="9"/>
  <c r="AA34" i="9"/>
  <c r="Z34" i="9"/>
  <c r="Y34" i="9"/>
  <c r="X34" i="9"/>
  <c r="W34" i="9"/>
  <c r="V34" i="9"/>
  <c r="U34" i="9"/>
  <c r="T34" i="9"/>
  <c r="S34" i="9"/>
  <c r="R34" i="9"/>
  <c r="Q34" i="9"/>
  <c r="P34" i="9"/>
  <c r="O34" i="9"/>
  <c r="N34" i="9"/>
  <c r="M34" i="9"/>
  <c r="L34" i="9"/>
  <c r="K34" i="9"/>
  <c r="J34" i="9"/>
  <c r="I34" i="9"/>
  <c r="H34" i="9"/>
  <c r="G34" i="9"/>
  <c r="F34" i="9"/>
  <c r="E34" i="9"/>
  <c r="D34" i="9"/>
  <c r="C34" i="9"/>
  <c r="AZ33" i="9"/>
  <c r="AY33" i="9"/>
  <c r="AX33" i="9"/>
  <c r="AW33" i="9"/>
  <c r="AV33" i="9"/>
  <c r="AU33" i="9"/>
  <c r="AT33" i="9"/>
  <c r="AS33" i="9"/>
  <c r="AR33" i="9"/>
  <c r="AQ33" i="9"/>
  <c r="AP33" i="9"/>
  <c r="AO33" i="9"/>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H33" i="9"/>
  <c r="G33" i="9"/>
  <c r="F33" i="9"/>
  <c r="E33" i="9"/>
  <c r="D33" i="9"/>
  <c r="C33" i="9"/>
  <c r="AZ32" i="9"/>
  <c r="AY32" i="9"/>
  <c r="AX32" i="9"/>
  <c r="AW32" i="9"/>
  <c r="AV32" i="9"/>
  <c r="AU32" i="9"/>
  <c r="AT32" i="9"/>
  <c r="AS32" i="9"/>
  <c r="AR32" i="9"/>
  <c r="AQ32" i="9"/>
  <c r="AP32" i="9"/>
  <c r="AO32" i="9"/>
  <c r="AN32" i="9"/>
  <c r="AM32" i="9"/>
  <c r="AL32" i="9"/>
  <c r="AK32" i="9"/>
  <c r="AJ32" i="9"/>
  <c r="AI32" i="9"/>
  <c r="AH32" i="9"/>
  <c r="AG32" i="9"/>
  <c r="AF32" i="9"/>
  <c r="AE32" i="9"/>
  <c r="AD32" i="9"/>
  <c r="AC32" i="9"/>
  <c r="AB32" i="9"/>
  <c r="AA32" i="9"/>
  <c r="Z32" i="9"/>
  <c r="Y32" i="9"/>
  <c r="X32" i="9"/>
  <c r="W32" i="9"/>
  <c r="V32" i="9"/>
  <c r="U32" i="9"/>
  <c r="T32" i="9"/>
  <c r="S32" i="9"/>
  <c r="R32" i="9"/>
  <c r="Q32" i="9"/>
  <c r="P32" i="9"/>
  <c r="O32" i="9"/>
  <c r="N32" i="9"/>
  <c r="M32" i="9"/>
  <c r="L32" i="9"/>
  <c r="K32" i="9"/>
  <c r="J32" i="9"/>
  <c r="I32" i="9"/>
  <c r="H32" i="9"/>
  <c r="G32" i="9"/>
  <c r="F32" i="9"/>
  <c r="E32" i="9"/>
  <c r="D32" i="9"/>
  <c r="C32" i="9"/>
  <c r="AZ31" i="9"/>
  <c r="AY31" i="9"/>
  <c r="AX31" i="9"/>
  <c r="AW31" i="9"/>
  <c r="AV31" i="9"/>
  <c r="AU31" i="9"/>
  <c r="AT31" i="9"/>
  <c r="AS31" i="9"/>
  <c r="AR31" i="9"/>
  <c r="AQ31" i="9"/>
  <c r="AP31" i="9"/>
  <c r="AO31" i="9"/>
  <c r="AN31" i="9"/>
  <c r="AM31" i="9"/>
  <c r="AL31" i="9"/>
  <c r="AK31" i="9"/>
  <c r="AJ31" i="9"/>
  <c r="AI31" i="9"/>
  <c r="AH31" i="9"/>
  <c r="AG31" i="9"/>
  <c r="AF31" i="9"/>
  <c r="AE31" i="9"/>
  <c r="AD31" i="9"/>
  <c r="AC31" i="9"/>
  <c r="AB31" i="9"/>
  <c r="AA31" i="9"/>
  <c r="Z31" i="9"/>
  <c r="Y31" i="9"/>
  <c r="X31" i="9"/>
  <c r="W31" i="9"/>
  <c r="V31" i="9"/>
  <c r="U31" i="9"/>
  <c r="T31" i="9"/>
  <c r="S31" i="9"/>
  <c r="R31" i="9"/>
  <c r="Q31" i="9"/>
  <c r="P31" i="9"/>
  <c r="O31" i="9"/>
  <c r="N31" i="9"/>
  <c r="M31" i="9"/>
  <c r="L31" i="9"/>
  <c r="K31" i="9"/>
  <c r="J31" i="9"/>
  <c r="I31" i="9"/>
  <c r="H31" i="9"/>
  <c r="G31" i="9"/>
  <c r="F31" i="9"/>
  <c r="E31" i="9"/>
  <c r="D31" i="9"/>
  <c r="C31" i="9"/>
  <c r="AZ30" i="9"/>
  <c r="AY30" i="9"/>
  <c r="AX30" i="9"/>
  <c r="AW30" i="9"/>
  <c r="AV30" i="9"/>
  <c r="AU30" i="9"/>
  <c r="AT30" i="9"/>
  <c r="AS30" i="9"/>
  <c r="AR30" i="9"/>
  <c r="AQ30" i="9"/>
  <c r="AP30" i="9"/>
  <c r="AO30" i="9"/>
  <c r="AN30" i="9"/>
  <c r="AM30" i="9"/>
  <c r="AL30" i="9"/>
  <c r="AK30" i="9"/>
  <c r="AJ30" i="9"/>
  <c r="AI30" i="9"/>
  <c r="AH30" i="9"/>
  <c r="AG30" i="9"/>
  <c r="AF30" i="9"/>
  <c r="AE30" i="9"/>
  <c r="AD30" i="9"/>
  <c r="AC30" i="9"/>
  <c r="AB30" i="9"/>
  <c r="AA30" i="9"/>
  <c r="Z30" i="9"/>
  <c r="Y30" i="9"/>
  <c r="X30" i="9"/>
  <c r="W30" i="9"/>
  <c r="V30" i="9"/>
  <c r="U30" i="9"/>
  <c r="T30" i="9"/>
  <c r="S30" i="9"/>
  <c r="R30" i="9"/>
  <c r="Q30" i="9"/>
  <c r="P30" i="9"/>
  <c r="O30" i="9"/>
  <c r="N30" i="9"/>
  <c r="M30" i="9"/>
  <c r="L30" i="9"/>
  <c r="K30" i="9"/>
  <c r="J30" i="9"/>
  <c r="I30" i="9"/>
  <c r="H30" i="9"/>
  <c r="G30" i="9"/>
  <c r="F30" i="9"/>
  <c r="E30" i="9"/>
  <c r="D30" i="9"/>
  <c r="C30" i="9"/>
  <c r="AZ29" i="9"/>
  <c r="AY29" i="9"/>
  <c r="AX29" i="9"/>
  <c r="AW29" i="9"/>
  <c r="AV29" i="9"/>
  <c r="AU29" i="9"/>
  <c r="AT29" i="9"/>
  <c r="AS29" i="9"/>
  <c r="AR29" i="9"/>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D29" i="9"/>
  <c r="C29" i="9"/>
  <c r="AZ28" i="9"/>
  <c r="AY28" i="9"/>
  <c r="AX28" i="9"/>
  <c r="AW28" i="9"/>
  <c r="AV28" i="9"/>
  <c r="AU28" i="9"/>
  <c r="AT28" i="9"/>
  <c r="AS28" i="9"/>
  <c r="AR28" i="9"/>
  <c r="AQ28" i="9"/>
  <c r="AP28" i="9"/>
  <c r="AO28" i="9"/>
  <c r="AN28" i="9"/>
  <c r="AM28" i="9"/>
  <c r="AL28" i="9"/>
  <c r="AK28" i="9"/>
  <c r="AJ28" i="9"/>
  <c r="AI28" i="9"/>
  <c r="AH28" i="9"/>
  <c r="AG28" i="9"/>
  <c r="AF28" i="9"/>
  <c r="AE28" i="9"/>
  <c r="AD28" i="9"/>
  <c r="AC28" i="9"/>
  <c r="AB28" i="9"/>
  <c r="AA28" i="9"/>
  <c r="Z28" i="9"/>
  <c r="Y28" i="9"/>
  <c r="X28" i="9"/>
  <c r="W28" i="9"/>
  <c r="V28" i="9"/>
  <c r="U28" i="9"/>
  <c r="T28" i="9"/>
  <c r="S28" i="9"/>
  <c r="R28" i="9"/>
  <c r="Q28" i="9"/>
  <c r="P28" i="9"/>
  <c r="O28" i="9"/>
  <c r="N28" i="9"/>
  <c r="M28" i="9"/>
  <c r="L28" i="9"/>
  <c r="K28" i="9"/>
  <c r="J28" i="9"/>
  <c r="I28" i="9"/>
  <c r="H28" i="9"/>
  <c r="G28" i="9"/>
  <c r="F28" i="9"/>
  <c r="E28" i="9"/>
  <c r="D28" i="9"/>
  <c r="C28" i="9"/>
  <c r="AZ27" i="9"/>
  <c r="AY27" i="9"/>
  <c r="AX27" i="9"/>
  <c r="AW27" i="9"/>
  <c r="AV27" i="9"/>
  <c r="AU27" i="9"/>
  <c r="AT27" i="9"/>
  <c r="AS27" i="9"/>
  <c r="AR27" i="9"/>
  <c r="AQ27" i="9"/>
  <c r="AP27" i="9"/>
  <c r="AO27" i="9"/>
  <c r="AN27" i="9"/>
  <c r="AM27" i="9"/>
  <c r="AL27" i="9"/>
  <c r="AK27" i="9"/>
  <c r="AJ27" i="9"/>
  <c r="AI27" i="9"/>
  <c r="AH27" i="9"/>
  <c r="AG27" i="9"/>
  <c r="AF27" i="9"/>
  <c r="AE27" i="9"/>
  <c r="AD27" i="9"/>
  <c r="AC27" i="9"/>
  <c r="AB27" i="9"/>
  <c r="AA27" i="9"/>
  <c r="Z27" i="9"/>
  <c r="Y27" i="9"/>
  <c r="X27" i="9"/>
  <c r="W27" i="9"/>
  <c r="V27" i="9"/>
  <c r="U27" i="9"/>
  <c r="T27" i="9"/>
  <c r="S27" i="9"/>
  <c r="R27" i="9"/>
  <c r="Q27" i="9"/>
  <c r="P27" i="9"/>
  <c r="O27" i="9"/>
  <c r="N27" i="9"/>
  <c r="M27" i="9"/>
  <c r="L27" i="9"/>
  <c r="K27" i="9"/>
  <c r="J27" i="9"/>
  <c r="I27" i="9"/>
  <c r="H27" i="9"/>
  <c r="G27" i="9"/>
  <c r="F27" i="9"/>
  <c r="E27" i="9"/>
  <c r="D27" i="9"/>
  <c r="C27" i="9"/>
  <c r="AZ26" i="9"/>
  <c r="AY26" i="9"/>
  <c r="AX26" i="9"/>
  <c r="AW26" i="9"/>
  <c r="AV26" i="9"/>
  <c r="AU26" i="9"/>
  <c r="AT26" i="9"/>
  <c r="AS26" i="9"/>
  <c r="AR26" i="9"/>
  <c r="AQ26" i="9"/>
  <c r="AP26" i="9"/>
  <c r="AO26" i="9"/>
  <c r="AN26" i="9"/>
  <c r="AM26" i="9"/>
  <c r="AL26" i="9"/>
  <c r="AK26" i="9"/>
  <c r="AJ26" i="9"/>
  <c r="AI26" i="9"/>
  <c r="AH26" i="9"/>
  <c r="AG26" i="9"/>
  <c r="AF26" i="9"/>
  <c r="AE26" i="9"/>
  <c r="AD26" i="9"/>
  <c r="AC26" i="9"/>
  <c r="AB26" i="9"/>
  <c r="AA26" i="9"/>
  <c r="Z26" i="9"/>
  <c r="Y26" i="9"/>
  <c r="X26" i="9"/>
  <c r="W26" i="9"/>
  <c r="V26" i="9"/>
  <c r="U26" i="9"/>
  <c r="T26" i="9"/>
  <c r="S26" i="9"/>
  <c r="R26" i="9"/>
  <c r="Q26" i="9"/>
  <c r="P26" i="9"/>
  <c r="O26" i="9"/>
  <c r="N26" i="9"/>
  <c r="M26" i="9"/>
  <c r="L26" i="9"/>
  <c r="K26" i="9"/>
  <c r="J26" i="9"/>
  <c r="I26" i="9"/>
  <c r="H26" i="9"/>
  <c r="G26" i="9"/>
  <c r="F26" i="9"/>
  <c r="E26" i="9"/>
  <c r="D26" i="9"/>
  <c r="C26" i="9"/>
  <c r="AZ25" i="9"/>
  <c r="AY25" i="9"/>
  <c r="AX25" i="9"/>
  <c r="AW25" i="9"/>
  <c r="AV25" i="9"/>
  <c r="AU25" i="9"/>
  <c r="AT25" i="9"/>
  <c r="AS25" i="9"/>
  <c r="AR25" i="9"/>
  <c r="AQ25" i="9"/>
  <c r="AP25" i="9"/>
  <c r="AO25" i="9"/>
  <c r="AN25" i="9"/>
  <c r="AM25" i="9"/>
  <c r="AL25" i="9"/>
  <c r="AK25" i="9"/>
  <c r="AJ25" i="9"/>
  <c r="AI25" i="9"/>
  <c r="AH25" i="9"/>
  <c r="AG25" i="9"/>
  <c r="AF25" i="9"/>
  <c r="AE25" i="9"/>
  <c r="AD25" i="9"/>
  <c r="AC25" i="9"/>
  <c r="AB25" i="9"/>
  <c r="AA25" i="9"/>
  <c r="Z25" i="9"/>
  <c r="Y25" i="9"/>
  <c r="X25" i="9"/>
  <c r="W25" i="9"/>
  <c r="V25" i="9"/>
  <c r="U25" i="9"/>
  <c r="T25" i="9"/>
  <c r="S25" i="9"/>
  <c r="R25" i="9"/>
  <c r="Q25" i="9"/>
  <c r="P25" i="9"/>
  <c r="O25" i="9"/>
  <c r="N25" i="9"/>
  <c r="M25" i="9"/>
  <c r="L25" i="9"/>
  <c r="K25" i="9"/>
  <c r="J25" i="9"/>
  <c r="I25" i="9"/>
  <c r="H25" i="9"/>
  <c r="G25" i="9"/>
  <c r="F25" i="9"/>
  <c r="E25" i="9"/>
  <c r="D25" i="9"/>
  <c r="C25" i="9"/>
  <c r="AZ24" i="9"/>
  <c r="AY24" i="9"/>
  <c r="AX24" i="9"/>
  <c r="AW24" i="9"/>
  <c r="AV24" i="9"/>
  <c r="AU24" i="9"/>
  <c r="AT24" i="9"/>
  <c r="AS24" i="9"/>
  <c r="AR24" i="9"/>
  <c r="AQ24" i="9"/>
  <c r="AP24" i="9"/>
  <c r="AO24" i="9"/>
  <c r="AN24" i="9"/>
  <c r="AM24" i="9"/>
  <c r="AL24" i="9"/>
  <c r="AK24" i="9"/>
  <c r="AJ24" i="9"/>
  <c r="AI24" i="9"/>
  <c r="AH24" i="9"/>
  <c r="AG24" i="9"/>
  <c r="AF24" i="9"/>
  <c r="AE24" i="9"/>
  <c r="AD24" i="9"/>
  <c r="AC24" i="9"/>
  <c r="AB24" i="9"/>
  <c r="AA24" i="9"/>
  <c r="Z24" i="9"/>
  <c r="Y24" i="9"/>
  <c r="X24" i="9"/>
  <c r="W24" i="9"/>
  <c r="V24" i="9"/>
  <c r="U24" i="9"/>
  <c r="T24" i="9"/>
  <c r="S24" i="9"/>
  <c r="R24" i="9"/>
  <c r="Q24" i="9"/>
  <c r="P24" i="9"/>
  <c r="O24" i="9"/>
  <c r="N24" i="9"/>
  <c r="M24" i="9"/>
  <c r="L24" i="9"/>
  <c r="K24" i="9"/>
  <c r="J24" i="9"/>
  <c r="I24" i="9"/>
  <c r="H24" i="9"/>
  <c r="G24" i="9"/>
  <c r="F24" i="9"/>
  <c r="E24" i="9"/>
  <c r="D24" i="9"/>
  <c r="C24" i="9"/>
  <c r="AZ23" i="9"/>
  <c r="AY23" i="9"/>
  <c r="AX23" i="9"/>
  <c r="AW23" i="9"/>
  <c r="AV23" i="9"/>
  <c r="AU23" i="9"/>
  <c r="AT23" i="9"/>
  <c r="AS23" i="9"/>
  <c r="AR23" i="9"/>
  <c r="AQ23" i="9"/>
  <c r="AP23" i="9"/>
  <c r="AO23" i="9"/>
  <c r="AN23" i="9"/>
  <c r="AM23" i="9"/>
  <c r="AL23" i="9"/>
  <c r="AK23" i="9"/>
  <c r="AJ23" i="9"/>
  <c r="AI23" i="9"/>
  <c r="AH23" i="9"/>
  <c r="AG23" i="9"/>
  <c r="AF23" i="9"/>
  <c r="AE23" i="9"/>
  <c r="AD23" i="9"/>
  <c r="AC23" i="9"/>
  <c r="AB23" i="9"/>
  <c r="AA23" i="9"/>
  <c r="Z23" i="9"/>
  <c r="Y23" i="9"/>
  <c r="X23" i="9"/>
  <c r="W23" i="9"/>
  <c r="V23" i="9"/>
  <c r="U23" i="9"/>
  <c r="T23" i="9"/>
  <c r="S23" i="9"/>
  <c r="R23" i="9"/>
  <c r="Q23" i="9"/>
  <c r="P23" i="9"/>
  <c r="O23" i="9"/>
  <c r="N23" i="9"/>
  <c r="M23" i="9"/>
  <c r="L23" i="9"/>
  <c r="K23" i="9"/>
  <c r="J23" i="9"/>
  <c r="I23" i="9"/>
  <c r="H23" i="9"/>
  <c r="G23" i="9"/>
  <c r="F23" i="9"/>
  <c r="E23" i="9"/>
  <c r="D23" i="9"/>
  <c r="C23" i="9"/>
  <c r="AZ22" i="9"/>
  <c r="AY22" i="9"/>
  <c r="AX22" i="9"/>
  <c r="AW22" i="9"/>
  <c r="AV22" i="9"/>
  <c r="AU22" i="9"/>
  <c r="AT22" i="9"/>
  <c r="AS22" i="9"/>
  <c r="AR22" i="9"/>
  <c r="AQ22" i="9"/>
  <c r="AP22" i="9"/>
  <c r="AO22" i="9"/>
  <c r="AN22" i="9"/>
  <c r="AM22" i="9"/>
  <c r="AL22" i="9"/>
  <c r="AK22" i="9"/>
  <c r="AJ22" i="9"/>
  <c r="AI22" i="9"/>
  <c r="AH22" i="9"/>
  <c r="AG22" i="9"/>
  <c r="AF22" i="9"/>
  <c r="AE22" i="9"/>
  <c r="AD22" i="9"/>
  <c r="AC22" i="9"/>
  <c r="AB22" i="9"/>
  <c r="AA22" i="9"/>
  <c r="Z22" i="9"/>
  <c r="Y22" i="9"/>
  <c r="X22" i="9"/>
  <c r="W22" i="9"/>
  <c r="V22" i="9"/>
  <c r="U22" i="9"/>
  <c r="T22" i="9"/>
  <c r="S22" i="9"/>
  <c r="R22" i="9"/>
  <c r="Q22" i="9"/>
  <c r="P22" i="9"/>
  <c r="O22" i="9"/>
  <c r="N22" i="9"/>
  <c r="M22" i="9"/>
  <c r="L22" i="9"/>
  <c r="K22" i="9"/>
  <c r="J22" i="9"/>
  <c r="I22" i="9"/>
  <c r="H22" i="9"/>
  <c r="G22" i="9"/>
  <c r="F22" i="9"/>
  <c r="E22" i="9"/>
  <c r="D22" i="9"/>
  <c r="C22" i="9"/>
  <c r="AZ21" i="9"/>
  <c r="AY21" i="9"/>
  <c r="AX21" i="9"/>
  <c r="AW21" i="9"/>
  <c r="AV21" i="9"/>
  <c r="AU21" i="9"/>
  <c r="AT21" i="9"/>
  <c r="AS21" i="9"/>
  <c r="AR21" i="9"/>
  <c r="AQ21" i="9"/>
  <c r="AP21" i="9"/>
  <c r="AO21" i="9"/>
  <c r="AN21" i="9"/>
  <c r="AM21" i="9"/>
  <c r="AL21" i="9"/>
  <c r="AK21" i="9"/>
  <c r="AJ21" i="9"/>
  <c r="AI21" i="9"/>
  <c r="AH21" i="9"/>
  <c r="AG21" i="9"/>
  <c r="AF21" i="9"/>
  <c r="AE21" i="9"/>
  <c r="AD21" i="9"/>
  <c r="AC21" i="9"/>
  <c r="AB21" i="9"/>
  <c r="AA21" i="9"/>
  <c r="Z21" i="9"/>
  <c r="Y21" i="9"/>
  <c r="X21" i="9"/>
  <c r="W21" i="9"/>
  <c r="V21" i="9"/>
  <c r="U21" i="9"/>
  <c r="T21" i="9"/>
  <c r="S21" i="9"/>
  <c r="R21" i="9"/>
  <c r="Q21" i="9"/>
  <c r="P21" i="9"/>
  <c r="O21" i="9"/>
  <c r="N21" i="9"/>
  <c r="M21" i="9"/>
  <c r="L21" i="9"/>
  <c r="K21" i="9"/>
  <c r="J21" i="9"/>
  <c r="I21" i="9"/>
  <c r="H21" i="9"/>
  <c r="G21" i="9"/>
  <c r="F21" i="9"/>
  <c r="E21" i="9"/>
  <c r="D21" i="9"/>
  <c r="C21" i="9"/>
  <c r="AZ20" i="9"/>
  <c r="AY20" i="9"/>
  <c r="AX20" i="9"/>
  <c r="AW20" i="9"/>
  <c r="AV20" i="9"/>
  <c r="AU20" i="9"/>
  <c r="AT20" i="9"/>
  <c r="AS20" i="9"/>
  <c r="AR20" i="9"/>
  <c r="AQ20" i="9"/>
  <c r="AP20" i="9"/>
  <c r="AO20" i="9"/>
  <c r="AN20" i="9"/>
  <c r="AM20" i="9"/>
  <c r="AL20" i="9"/>
  <c r="AK20" i="9"/>
  <c r="AJ20" i="9"/>
  <c r="AI20" i="9"/>
  <c r="AH20" i="9"/>
  <c r="AG20" i="9"/>
  <c r="AF20" i="9"/>
  <c r="AE20" i="9"/>
  <c r="AD20" i="9"/>
  <c r="AC20" i="9"/>
  <c r="AB20" i="9"/>
  <c r="AA20" i="9"/>
  <c r="Z20" i="9"/>
  <c r="Y20" i="9"/>
  <c r="X20" i="9"/>
  <c r="W20" i="9"/>
  <c r="V20" i="9"/>
  <c r="U20" i="9"/>
  <c r="T20" i="9"/>
  <c r="S20" i="9"/>
  <c r="R20" i="9"/>
  <c r="Q20" i="9"/>
  <c r="P20" i="9"/>
  <c r="O20" i="9"/>
  <c r="N20" i="9"/>
  <c r="M20" i="9"/>
  <c r="L20" i="9"/>
  <c r="K20" i="9"/>
  <c r="J20" i="9"/>
  <c r="I20" i="9"/>
  <c r="H20" i="9"/>
  <c r="G20" i="9"/>
  <c r="F20" i="9"/>
  <c r="E20" i="9"/>
  <c r="D20" i="9"/>
  <c r="C20" i="9"/>
  <c r="AZ19" i="9"/>
  <c r="AY19" i="9"/>
  <c r="AX19" i="9"/>
  <c r="AW19" i="9"/>
  <c r="AV19" i="9"/>
  <c r="AU19" i="9"/>
  <c r="AT19" i="9"/>
  <c r="AS19" i="9"/>
  <c r="AR19" i="9"/>
  <c r="AQ19" i="9"/>
  <c r="AP19" i="9"/>
  <c r="AO19" i="9"/>
  <c r="AN19" i="9"/>
  <c r="AM19" i="9"/>
  <c r="AL19" i="9"/>
  <c r="AK19" i="9"/>
  <c r="AJ19" i="9"/>
  <c r="AI19" i="9"/>
  <c r="AH19" i="9"/>
  <c r="AG19" i="9"/>
  <c r="AF19" i="9"/>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C19" i="9"/>
  <c r="AZ18" i="9"/>
  <c r="AY18" i="9"/>
  <c r="AX18" i="9"/>
  <c r="AW18" i="9"/>
  <c r="AV18" i="9"/>
  <c r="AU18" i="9"/>
  <c r="AT18" i="9"/>
  <c r="AS18" i="9"/>
  <c r="AR18" i="9"/>
  <c r="AQ18" i="9"/>
  <c r="AP18" i="9"/>
  <c r="AO18" i="9"/>
  <c r="AN18" i="9"/>
  <c r="AM18" i="9"/>
  <c r="AL18" i="9"/>
  <c r="AK18" i="9"/>
  <c r="AJ18" i="9"/>
  <c r="AI18"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C18" i="9"/>
  <c r="F14" i="9"/>
  <c r="E126" i="4" l="1"/>
  <c r="E125" i="4"/>
  <c r="D126" i="4"/>
  <c r="D125" i="4"/>
  <c r="C126" i="4"/>
  <c r="C125" i="4"/>
  <c r="B126" i="4"/>
  <c r="B125" i="4"/>
  <c r="E109" i="4"/>
  <c r="E108" i="4"/>
  <c r="D109" i="4"/>
  <c r="D108" i="4"/>
  <c r="C109" i="4"/>
  <c r="C108" i="4"/>
  <c r="B109" i="4"/>
  <c r="B108" i="4"/>
  <c r="E89" i="4"/>
  <c r="E87" i="4"/>
  <c r="D89" i="4"/>
  <c r="C89" i="4"/>
  <c r="C87" i="4"/>
  <c r="B89" i="4"/>
  <c r="B87" i="4"/>
  <c r="E72" i="4"/>
  <c r="E70" i="4"/>
  <c r="D72" i="4"/>
  <c r="D70" i="4"/>
  <c r="C72" i="4"/>
  <c r="C70" i="4"/>
  <c r="B72" i="4"/>
  <c r="B70" i="4"/>
  <c r="E52" i="4" l="1"/>
  <c r="E51" i="4"/>
  <c r="D52" i="4"/>
  <c r="D51" i="4"/>
  <c r="C52" i="4"/>
  <c r="C51" i="4"/>
  <c r="B52" i="4"/>
  <c r="B51" i="4"/>
  <c r="E35" i="4"/>
  <c r="E34" i="4"/>
  <c r="D35" i="4"/>
  <c r="D34" i="4"/>
  <c r="C35" i="4"/>
  <c r="C34" i="4"/>
  <c r="B35" i="4"/>
  <c r="B34" i="4"/>
  <c r="D129" i="4"/>
  <c r="D128" i="4"/>
  <c r="C129" i="4"/>
  <c r="C128" i="4"/>
  <c r="B129" i="4"/>
  <c r="B128" i="4"/>
  <c r="D112" i="4"/>
  <c r="D111" i="4"/>
  <c r="C112" i="4"/>
  <c r="C111" i="4"/>
  <c r="B112" i="4"/>
  <c r="B111" i="4"/>
  <c r="D91" i="4"/>
  <c r="D92" i="4"/>
  <c r="C91" i="4"/>
  <c r="C92" i="4"/>
  <c r="B91" i="4"/>
  <c r="B92" i="4"/>
  <c r="D74" i="4"/>
  <c r="D75" i="4"/>
  <c r="C74" i="4"/>
  <c r="C75" i="4"/>
  <c r="B74" i="4"/>
  <c r="B75" i="4"/>
  <c r="D55" i="4"/>
  <c r="D54" i="4"/>
  <c r="C55" i="4"/>
  <c r="C54" i="4"/>
  <c r="B55" i="4"/>
  <c r="B54" i="4"/>
  <c r="D38" i="4"/>
  <c r="D37" i="4"/>
  <c r="C38" i="4"/>
  <c r="C37" i="4"/>
  <c r="B38" i="4"/>
  <c r="B37" i="4"/>
  <c r="D120" i="4"/>
  <c r="C120" i="4"/>
  <c r="B120" i="4"/>
  <c r="D103" i="4"/>
  <c r="C103" i="4"/>
  <c r="B103" i="4"/>
  <c r="D84" i="4"/>
  <c r="C84" i="4"/>
  <c r="B84" i="4"/>
  <c r="D67" i="4"/>
  <c r="C67" i="4"/>
  <c r="B67" i="4"/>
  <c r="D46" i="4"/>
  <c r="C46" i="4"/>
  <c r="B46" i="4"/>
  <c r="D29" i="4"/>
  <c r="C29" i="4" l="1"/>
  <c r="B29" i="4"/>
  <c r="E127" i="4"/>
  <c r="D127" i="4"/>
  <c r="C127" i="4"/>
  <c r="B127" i="4"/>
  <c r="E110" i="4"/>
  <c r="D110" i="4"/>
  <c r="C110" i="4"/>
  <c r="B110" i="4"/>
  <c r="E90" i="4"/>
  <c r="D90" i="4"/>
  <c r="C90" i="4"/>
  <c r="B90" i="4"/>
  <c r="E73" i="4"/>
  <c r="D73" i="4"/>
  <c r="C73" i="4"/>
  <c r="B73" i="4"/>
  <c r="E53" i="4"/>
  <c r="D53" i="4"/>
  <c r="C53" i="4"/>
  <c r="B53" i="4"/>
  <c r="E36" i="4"/>
  <c r="D36" i="4"/>
  <c r="C36" i="4"/>
  <c r="B36" i="4"/>
  <c r="H100" i="4"/>
  <c r="H81" i="4"/>
  <c r="H64" i="4"/>
  <c r="H90" i="4"/>
  <c r="D87" i="4"/>
  <c r="E57" i="1" l="1"/>
  <c r="D57" i="1"/>
  <c r="C57" i="1"/>
  <c r="B57" i="1"/>
  <c r="E48" i="1"/>
  <c r="D48" i="1"/>
  <c r="C48" i="1"/>
  <c r="B48" i="1"/>
  <c r="E39" i="1" l="1"/>
  <c r="D39" i="1"/>
  <c r="C39" i="1"/>
  <c r="B39" i="1"/>
  <c r="E27" i="1"/>
  <c r="D27" i="1"/>
  <c r="C27" i="1"/>
  <c r="B27" i="1"/>
  <c r="E18" i="1"/>
  <c r="D18" i="1"/>
  <c r="C18" i="1"/>
  <c r="B18" i="1"/>
  <c r="D121" i="4"/>
  <c r="C121" i="4"/>
  <c r="B121" i="4"/>
  <c r="D104" i="4"/>
  <c r="C104" i="4"/>
  <c r="B104" i="4"/>
  <c r="D83" i="4"/>
  <c r="C83" i="4"/>
  <c r="B83" i="4"/>
  <c r="D66" i="4"/>
  <c r="C66" i="4"/>
  <c r="B66" i="4"/>
  <c r="H116" i="4"/>
  <c r="H63" i="4"/>
  <c r="E56" i="1"/>
  <c r="D56" i="1"/>
  <c r="C56" i="1"/>
  <c r="B56" i="1"/>
  <c r="E46" i="1"/>
  <c r="D46" i="1"/>
  <c r="C46" i="1"/>
  <c r="B46" i="1"/>
  <c r="E38" i="1"/>
  <c r="D38" i="1"/>
  <c r="C38" i="1"/>
  <c r="E25" i="1"/>
  <c r="D25" i="1"/>
  <c r="C25" i="1"/>
  <c r="B25" i="1"/>
  <c r="E55" i="1"/>
  <c r="D55" i="1"/>
  <c r="C55" i="1"/>
  <c r="B55" i="1"/>
  <c r="E100" i="4"/>
  <c r="D100" i="4"/>
  <c r="C100" i="4"/>
  <c r="B100" i="4"/>
  <c r="E47" i="1"/>
  <c r="D47" i="1"/>
  <c r="C47" i="1"/>
  <c r="B47" i="1"/>
  <c r="E81" i="4"/>
  <c r="D81" i="4"/>
  <c r="E37" i="1"/>
  <c r="D37" i="1"/>
  <c r="C81" i="4"/>
  <c r="C37" i="1"/>
  <c r="B81" i="4"/>
  <c r="B37" i="1"/>
  <c r="E26" i="1"/>
  <c r="D26" i="1"/>
  <c r="C26" i="1"/>
  <c r="H26" i="1"/>
  <c r="B26" i="1"/>
  <c r="E9" i="1" l="1"/>
  <c r="D9" i="1"/>
  <c r="C9" i="1"/>
  <c r="B9" i="1"/>
  <c r="D60" i="1"/>
  <c r="D51" i="1"/>
  <c r="C60" i="1"/>
  <c r="C51" i="1"/>
  <c r="B60" i="1"/>
  <c r="B51" i="1"/>
  <c r="D42" i="1"/>
  <c r="D30" i="1"/>
  <c r="C42" i="1"/>
  <c r="C30" i="1"/>
  <c r="B42" i="1"/>
  <c r="B30" i="1"/>
  <c r="D21" i="1"/>
  <c r="D12" i="1"/>
  <c r="C21" i="1"/>
  <c r="C12" i="1"/>
  <c r="B21" i="1"/>
  <c r="B12" i="1"/>
  <c r="D29" i="1"/>
  <c r="C29" i="1"/>
  <c r="B29" i="1"/>
  <c r="D19" i="1"/>
  <c r="C11" i="1"/>
  <c r="B19" i="1"/>
  <c r="B20" i="1"/>
  <c r="D11" i="1"/>
  <c r="B11" i="1"/>
  <c r="A9" i="2"/>
  <c r="D59" i="1"/>
  <c r="D58" i="1"/>
  <c r="C59" i="1"/>
  <c r="C58" i="1"/>
  <c r="B59" i="1"/>
  <c r="B58" i="1"/>
  <c r="D50" i="1"/>
  <c r="D49" i="1"/>
  <c r="C50" i="1"/>
  <c r="C49" i="1"/>
  <c r="B50" i="1"/>
  <c r="B49" i="1"/>
  <c r="D41" i="1"/>
  <c r="D40" i="1"/>
  <c r="C41" i="1"/>
  <c r="C40" i="1"/>
  <c r="B41" i="1"/>
  <c r="B40" i="1"/>
  <c r="D28" i="1"/>
  <c r="C28" i="1"/>
  <c r="B28" i="1"/>
  <c r="C20" i="1"/>
  <c r="C19" i="1"/>
  <c r="D20" i="1"/>
  <c r="D10" i="1"/>
  <c r="C10" i="1"/>
  <c r="B10" i="1"/>
  <c r="D47" i="4"/>
  <c r="C47" i="4"/>
  <c r="B47" i="4"/>
  <c r="D30" i="4"/>
  <c r="C30" i="4"/>
  <c r="B30" i="4"/>
  <c r="D43" i="4"/>
  <c r="E16" i="1" l="1"/>
  <c r="D16" i="1"/>
  <c r="C16" i="1"/>
  <c r="B16" i="1"/>
  <c r="E17" i="1"/>
  <c r="D17" i="1"/>
  <c r="C17" i="1"/>
  <c r="B17" i="1"/>
  <c r="H43" i="4"/>
  <c r="H25" i="1"/>
  <c r="A12" i="2"/>
  <c r="H7" i="1"/>
  <c r="H17" i="1"/>
  <c r="A10" i="2"/>
  <c r="H8" i="1"/>
  <c r="B7" i="1" l="1"/>
  <c r="H37" i="1"/>
  <c r="H55" i="1"/>
  <c r="H47" i="1"/>
  <c r="E7" i="1"/>
  <c r="H16" i="1"/>
  <c r="E8" i="1"/>
  <c r="A15" i="2"/>
  <c r="B8" i="1"/>
  <c r="A16" i="2"/>
  <c r="A14" i="2"/>
  <c r="D8" i="1"/>
  <c r="C8" i="1"/>
  <c r="D7" i="1"/>
  <c r="C7" i="1"/>
</calcChain>
</file>

<file path=xl/sharedStrings.xml><?xml version="1.0" encoding="utf-8"?>
<sst xmlns="http://schemas.openxmlformats.org/spreadsheetml/2006/main" count="3149" uniqueCount="404">
  <si>
    <t>Semaine 1</t>
  </si>
  <si>
    <t>Jour 1</t>
  </si>
  <si>
    <t>Exercices</t>
  </si>
  <si>
    <t>Série 1</t>
  </si>
  <si>
    <t>Série 2</t>
  </si>
  <si>
    <t>Série 3</t>
  </si>
  <si>
    <t>Série 4</t>
  </si>
  <si>
    <t>Pompes</t>
  </si>
  <si>
    <t>Tractions</t>
  </si>
  <si>
    <t>Squat</t>
  </si>
  <si>
    <t>0-5</t>
  </si>
  <si>
    <t>6-10</t>
  </si>
  <si>
    <t>11-20</t>
  </si>
  <si>
    <t>21-25</t>
  </si>
  <si>
    <t>26-30</t>
  </si>
  <si>
    <t>31-35</t>
  </si>
  <si>
    <t>36-40</t>
  </si>
  <si>
    <t>41-45</t>
  </si>
  <si>
    <t>46-50</t>
  </si>
  <si>
    <t>51-55</t>
  </si>
  <si>
    <t>56-60</t>
  </si>
  <si>
    <t>60 +</t>
  </si>
  <si>
    <t>0-4</t>
  </si>
  <si>
    <t>4-5</t>
  </si>
  <si>
    <t>6-8</t>
  </si>
  <si>
    <t>9-11</t>
  </si>
  <si>
    <t>12-15</t>
  </si>
  <si>
    <t>16-20</t>
  </si>
  <si>
    <t>40 +</t>
  </si>
  <si>
    <t>1-20</t>
  </si>
  <si>
    <t>21-40</t>
  </si>
  <si>
    <t>41-60</t>
  </si>
  <si>
    <t>61-80</t>
  </si>
  <si>
    <t>81-100</t>
  </si>
  <si>
    <t>101-125</t>
  </si>
  <si>
    <t>126-150</t>
  </si>
  <si>
    <t>151-175</t>
  </si>
  <si>
    <t>176-200</t>
  </si>
  <si>
    <t>201-220</t>
  </si>
  <si>
    <t>221-240</t>
  </si>
  <si>
    <t>241-260</t>
  </si>
  <si>
    <t>261-275</t>
  </si>
  <si>
    <t>276+</t>
  </si>
  <si>
    <t>17-19</t>
  </si>
  <si>
    <t>20-29</t>
  </si>
  <si>
    <t>30-39</t>
  </si>
  <si>
    <t>40-49</t>
  </si>
  <si>
    <t>50-59</t>
  </si>
  <si>
    <t>60-65</t>
  </si>
  <si>
    <t>Excellent</t>
  </si>
  <si>
    <t>&gt; 56</t>
  </si>
  <si>
    <t>&gt; 47</t>
  </si>
  <si>
    <t>&gt; 41</t>
  </si>
  <si>
    <t>&gt; 34</t>
  </si>
  <si>
    <t>&gt; 31</t>
  </si>
  <si>
    <t>&gt; 30</t>
  </si>
  <si>
    <t>Bien</t>
  </si>
  <si>
    <t>47-56</t>
  </si>
  <si>
    <t>39-47</t>
  </si>
  <si>
    <t>34-41</t>
  </si>
  <si>
    <t>28-34</t>
  </si>
  <si>
    <t>25-31</t>
  </si>
  <si>
    <t>24-30</t>
  </si>
  <si>
    <t>Au dessus de la moyenne</t>
  </si>
  <si>
    <t>35-46</t>
  </si>
  <si>
    <t>25-33</t>
  </si>
  <si>
    <t>21-28</t>
  </si>
  <si>
    <t>18-24</t>
  </si>
  <si>
    <t>17-23</t>
  </si>
  <si>
    <t>Moyenne</t>
  </si>
  <si>
    <t>19-34</t>
  </si>
  <si>
    <t>17-29</t>
  </si>
  <si>
    <t>13-24</t>
  </si>
  <si>
    <t>Sous la moyenne</t>
  </si>
  <si>
    <t>&lt; 4</t>
  </si>
  <si>
    <t>&lt; 2</t>
  </si>
  <si>
    <t>Âge</t>
  </si>
  <si>
    <t>4-10</t>
  </si>
  <si>
    <t>4-9</t>
  </si>
  <si>
    <t>2-7</t>
  </si>
  <si>
    <t>1-5</t>
  </si>
  <si>
    <t>1-4</t>
  </si>
  <si>
    <t>1-2</t>
  </si>
  <si>
    <t>11-18</t>
  </si>
  <si>
    <t>10-16</t>
  </si>
  <si>
    <t>8-12</t>
  </si>
  <si>
    <t>5-8</t>
  </si>
  <si>
    <t>3-5</t>
  </si>
  <si>
    <t>9-17</t>
  </si>
  <si>
    <t>6-16</t>
  </si>
  <si>
    <t>Très faible</t>
  </si>
  <si>
    <t>Faible</t>
  </si>
  <si>
    <t>Tableau : normes de test de pompes pour les HOMMES</t>
  </si>
  <si>
    <t>Tableau : normes de test de pompes pour les FEMMES</t>
  </si>
  <si>
    <t>&gt; 32</t>
  </si>
  <si>
    <t>&gt; 28</t>
  </si>
  <si>
    <t>&gt; 20</t>
  </si>
  <si>
    <t>&gt; 16</t>
  </si>
  <si>
    <t>&gt; 12</t>
  </si>
  <si>
    <t>22-30</t>
  </si>
  <si>
    <t>24-32</t>
  </si>
  <si>
    <t>15-20</t>
  </si>
  <si>
    <t>13-16</t>
  </si>
  <si>
    <t>14-23</t>
  </si>
  <si>
    <t>13-20</t>
  </si>
  <si>
    <t>11-21</t>
  </si>
  <si>
    <t>10-14</t>
  </si>
  <si>
    <t>9-12</t>
  </si>
  <si>
    <t>6-9</t>
  </si>
  <si>
    <t>10-12</t>
  </si>
  <si>
    <t>7-10</t>
  </si>
  <si>
    <t>9-13</t>
  </si>
  <si>
    <t>7-12</t>
  </si>
  <si>
    <t>5-9</t>
  </si>
  <si>
    <t>4-8</t>
  </si>
  <si>
    <t>4-6</t>
  </si>
  <si>
    <t>3-6</t>
  </si>
  <si>
    <t>2-4</t>
  </si>
  <si>
    <t>2-3</t>
  </si>
  <si>
    <t>2</t>
  </si>
  <si>
    <t>1-3</t>
  </si>
  <si>
    <t>1</t>
  </si>
  <si>
    <t>0</t>
  </si>
  <si>
    <t>Note</t>
  </si>
  <si>
    <t>Repos série</t>
  </si>
  <si>
    <t>Repos exercice</t>
  </si>
  <si>
    <t>2' à 3'</t>
  </si>
  <si>
    <t>1' à 2'</t>
  </si>
  <si>
    <t>1'30 à 2'</t>
  </si>
  <si>
    <t>Veuillez sélectionner le nombre maximum de répétitions que vous avez effectuées dans la case bleue :</t>
  </si>
  <si>
    <t>1'</t>
  </si>
  <si>
    <t>1' à 1'30</t>
  </si>
  <si>
    <t>Jour 2  : REPOS</t>
  </si>
  <si>
    <t>Jour 3</t>
  </si>
  <si>
    <t>Jour 4  : REPOS</t>
  </si>
  <si>
    <t>Jour 5</t>
  </si>
  <si>
    <t>Crunch au sol avec rotation (obliques)</t>
  </si>
  <si>
    <t>par côté</t>
  </si>
  <si>
    <t>Si vous souhaitez faire 1 jambe à la fois /2 le chiffre indiqué</t>
  </si>
  <si>
    <t>Jour 6  : REPOS</t>
  </si>
  <si>
    <t>Jour 7  : REPOS</t>
  </si>
  <si>
    <t>Semaine 2</t>
  </si>
  <si>
    <t>Objectif: prise de force sur les 3 principaux exercices (pompes, traction et squat)</t>
  </si>
  <si>
    <t>Ajouter du poids si vous êtes aux haltères ou utiliser variante si pdc</t>
  </si>
  <si>
    <t>1'30  à 2'</t>
  </si>
  <si>
    <t>Niveau 2 : half body</t>
  </si>
  <si>
    <t>Niveau 1 : full body</t>
  </si>
  <si>
    <t>Pompes déclinées</t>
  </si>
  <si>
    <t>Dips</t>
  </si>
  <si>
    <t>Objectif : progresser sur les dips et la nouvelle variante de pompes</t>
  </si>
  <si>
    <t>Jour 2 : bas</t>
  </si>
  <si>
    <t>Jour 1: haut</t>
  </si>
  <si>
    <t>Jour 3  : REPOS</t>
  </si>
  <si>
    <t>Jour 4 : haut</t>
  </si>
  <si>
    <t>Test: faites les exercices du test ci-dessous dans l'ordre en 1x max de répétitions puis prenez 1'30 à 2' de repos avant de faire l'exercice suivant.</t>
  </si>
  <si>
    <t>Traction pronation</t>
  </si>
  <si>
    <t>Jour 5 : bas</t>
  </si>
  <si>
    <t xml:space="preserve">Curl au front </t>
  </si>
  <si>
    <t>Extension triceps contre mur ou variante</t>
  </si>
  <si>
    <t>Pour les max avec minimum x répétitions, vous pouvez faire des rest pauses pour valider le mode</t>
  </si>
  <si>
    <t>Relevé de jambes</t>
  </si>
  <si>
    <t>Crunch obliques</t>
  </si>
  <si>
    <t>Test : faites le maximum de répétitions aux 7 exercices ci-dessous et prenez 1'30 à 3' de repos entre chaque exercice</t>
  </si>
  <si>
    <t>Si vous souhaitez changer de niveau, vous devez avoir atteint au moins le niveau "moyenne" pour votre âge aux pompes classiques.</t>
  </si>
  <si>
    <t>Extension triceps contre mur ou variantes</t>
  </si>
  <si>
    <t>Séance bas du corps</t>
  </si>
  <si>
    <t>Nordic Curl</t>
  </si>
  <si>
    <t>Semaine 3</t>
  </si>
  <si>
    <t>Extension triceps contre un mur ou variantes</t>
  </si>
  <si>
    <t>2'</t>
  </si>
  <si>
    <t>Si vous continuez ce niveau et que vous faites au test + de 20 répétitions sur certains exos, vous pouvez ajouter du lest et refaire le test pour savoir combien de répétitions il faudra faire.</t>
  </si>
  <si>
    <t>Mollets debout 1 jambe à la fois</t>
  </si>
  <si>
    <t>Ajouter du poids si vous êtes aux haltères</t>
  </si>
  <si>
    <t>30" à 1'</t>
  </si>
  <si>
    <t>Fente latérale</t>
  </si>
  <si>
    <t>Autrement, vous pouvez diminuer de 15" le repos entre les exercices et ainsi de suite jusqu'à ce que vous arriviez à 30" de repos entre les séries.</t>
  </si>
  <si>
    <t>Il faut au moins rester 6 semaines sur ce niveau. Vous pouvez le continuer ou passer au niveau 3, si vous avez envie de changer votre routine.</t>
  </si>
  <si>
    <t>Méthode DIANABOLIC - site officiel</t>
  </si>
  <si>
    <t>Traction pronation / suspination suivant votre force</t>
  </si>
  <si>
    <t>Répétez le test aux exercices (onglet "Résultat du test") et inscrivez les nouvelles données. Recommencez la première semaine avec les nouvelles données.</t>
  </si>
  <si>
    <t>Faites une photo de vous au même endroit, même posture et sous la même lumière.</t>
  </si>
  <si>
    <t>Utilisez une balance fiable et précise pour mesurer votre poids corporel. Veillez à vous peser le matin à jeun, après avoir été à la toilette et en sous-vêtement ou tout nu.</t>
  </si>
  <si>
    <t>Il est préférable de peser à la même heure chaque jour ou chaque semaine pour obtenir des mesures plus cohérentes.</t>
  </si>
  <si>
    <t>La fréquence de pesée dépend de vos objectifs et de votre confort. Certaines personnes préfèrent se peser tous les jours, tandis que d'autres le font une fois par semaine.</t>
  </si>
  <si>
    <t>Prendre ses mensurations :</t>
  </si>
  <si>
    <t>Pour calculer votre tour de taille, utilisez un mètre-ruban souple et mesurez autour de la partie la plus étroite de votre abdomen, au niveau du nombril.</t>
  </si>
  <si>
    <t>Pour mesurer votre tour de bras, mesurez autour de la partie la plus large de votre biceps, avec le bras détendu.</t>
  </si>
  <si>
    <t>Pour mesurer votre tour de poitrine, placez le mètre-ruban sous vos aisselles et mesurez autour de la partie la plus large de votre poitrine.</t>
  </si>
  <si>
    <t>Vous pouvez également mesurer d'autres parties du corps, comme les cuisses, les hanches, etc., en fonction de vos objectifs et des zones que vous souhaitez cibler.</t>
  </si>
  <si>
    <t>Poids idéal pour les hommes</t>
  </si>
  <si>
    <t>normale</t>
  </si>
  <si>
    <t>large</t>
  </si>
  <si>
    <t>Saisissez dans les cases bleues :</t>
  </si>
  <si>
    <t>Formule de Creff, morphologie normale</t>
  </si>
  <si>
    <t>Poids idéal en kg = (taille en cm - 100 + âge / 10 ) x 0,9</t>
  </si>
  <si>
    <t>1m50</t>
  </si>
  <si>
    <t>1m51</t>
  </si>
  <si>
    <t>1m52</t>
  </si>
  <si>
    <t>1m53</t>
  </si>
  <si>
    <t>1m54</t>
  </si>
  <si>
    <t>1m55</t>
  </si>
  <si>
    <t>1m56</t>
  </si>
  <si>
    <t>1m57</t>
  </si>
  <si>
    <t>1m58</t>
  </si>
  <si>
    <t>1m59</t>
  </si>
  <si>
    <t>1m60</t>
  </si>
  <si>
    <t>1m61</t>
  </si>
  <si>
    <t>1m62</t>
  </si>
  <si>
    <t>1m63</t>
  </si>
  <si>
    <t>1m64</t>
  </si>
  <si>
    <t>1m65</t>
  </si>
  <si>
    <t>1m66</t>
  </si>
  <si>
    <t>1m67</t>
  </si>
  <si>
    <t>1m68</t>
  </si>
  <si>
    <t>1m69</t>
  </si>
  <si>
    <t>1m70</t>
  </si>
  <si>
    <t>1m71</t>
  </si>
  <si>
    <t>1m72</t>
  </si>
  <si>
    <t>1m73</t>
  </si>
  <si>
    <t>1m74</t>
  </si>
  <si>
    <t>1m75</t>
  </si>
  <si>
    <t>1m76</t>
  </si>
  <si>
    <t>1m77</t>
  </si>
  <si>
    <t>1m78</t>
  </si>
  <si>
    <t>1m79</t>
  </si>
  <si>
    <t>1m80</t>
  </si>
  <si>
    <t>1m81</t>
  </si>
  <si>
    <t>1m82</t>
  </si>
  <si>
    <t>1m83</t>
  </si>
  <si>
    <t>1m84</t>
  </si>
  <si>
    <t>1m85</t>
  </si>
  <si>
    <t>1m86</t>
  </si>
  <si>
    <t>1m87</t>
  </si>
  <si>
    <t>1m88</t>
  </si>
  <si>
    <t>1m89</t>
  </si>
  <si>
    <t>1m90</t>
  </si>
  <si>
    <t>1m91</t>
  </si>
  <si>
    <t>1m92</t>
  </si>
  <si>
    <t>1m93</t>
  </si>
  <si>
    <t>1m94</t>
  </si>
  <si>
    <t>1m95</t>
  </si>
  <si>
    <t>1m96</t>
  </si>
  <si>
    <t>1m97</t>
  </si>
  <si>
    <t>1m98</t>
  </si>
  <si>
    <t>1m99</t>
  </si>
  <si>
    <t>Âge :</t>
  </si>
  <si>
    <t>Formule de Creff, morphologie mince</t>
  </si>
  <si>
    <t>Poids idéal en kg = (taille en cm - 100 + âge / 10 ) x 0,9 x 0,9</t>
  </si>
  <si>
    <t>Formule de Creff, morphologie large</t>
  </si>
  <si>
    <t>Poids idéal en kg = (taille en cm - 100 + âge / 10 ) x 0,9 x 1,1</t>
  </si>
  <si>
    <t>mince</t>
  </si>
  <si>
    <t>Poids (kg)</t>
  </si>
  <si>
    <t>Pompes inclinées</t>
  </si>
  <si>
    <t>Ajouter 1 à 2 séances cardio par semaine pendant les jours de repos</t>
  </si>
  <si>
    <t>EVOLUTION DU CORPS</t>
  </si>
  <si>
    <t>Mois</t>
  </si>
  <si>
    <t>Tour de taille</t>
  </si>
  <si>
    <t>Tour de hanche</t>
  </si>
  <si>
    <t>Tour de cuisse</t>
  </si>
  <si>
    <t>Tour de poitrine</t>
  </si>
  <si>
    <t>Bras gauche</t>
  </si>
  <si>
    <t>Bras droit</t>
  </si>
  <si>
    <t>Jambe gauche</t>
  </si>
  <si>
    <t>Jambe droite</t>
  </si>
  <si>
    <t>Mollet gauche</t>
  </si>
  <si>
    <t>Mollet droit</t>
  </si>
  <si>
    <t>Chaque début de mois, noter votre poids, vos mesures et prenez vous en photo</t>
  </si>
  <si>
    <t>Veillez à garder une trace des données indiquées ci-dessous et de l’actualiser chaque mois.</t>
  </si>
  <si>
    <t>(uniquement valable pour le niveau 1)</t>
  </si>
  <si>
    <t>Mesurer son poids :</t>
  </si>
  <si>
    <t>Squat bulgare 1 jambe à la fois</t>
  </si>
  <si>
    <t>Jump squat</t>
  </si>
  <si>
    <t>Jour 1: push</t>
  </si>
  <si>
    <t>Handstand pushup (voir variantes en cliquant ici)</t>
  </si>
  <si>
    <t>Extension triceps au sol</t>
  </si>
  <si>
    <t>Séance push</t>
  </si>
  <si>
    <t>Séance pull</t>
  </si>
  <si>
    <t>W-Superman</t>
  </si>
  <si>
    <t>Si vous avez des haltères, vous pouvez faire extension nuque au format: 3x8-13 répétitions. Une fois que vous avez validé 13 répétitions, reprenez à 8 et augmenter le poids de 1 à 2;5 kg</t>
  </si>
  <si>
    <t>Si vous avez des haltères, vous pouvez faire du curl haltères au format: 3x8-13 répétitions. Une fois que vous avez validé 13 répétitions, reprenez à 8 et augmenter le poids de 1 à 2;5 kg</t>
  </si>
  <si>
    <t>Si vous avez des haltères, vous pouvez faire magyc triceps au format: 3x8-13 répétitions. Une fois que vous avez validé 13 répétitions, reprenez à 8 et augmenter le poids de 1 à 2;5 kg</t>
  </si>
  <si>
    <t>Si vous avez des haltères, vous pouvez faire du curl marteau au format: 3x8-13 répétitions. Une fois que vous avez validé 13 répétitions, reprenez à 8 et augmenter le poids de 1 à 2;5 kg</t>
  </si>
  <si>
    <t>Crunches</t>
  </si>
  <si>
    <t>Objectif : Vous améliorez sur les exos push / pull / legs. Ajouter une à deux séances de cardio pendant les jours de repos.</t>
  </si>
  <si>
    <t>Pour les max avec minimum x répétitions, vous pouvez faire des rest pauses pour valider le mode.</t>
  </si>
  <si>
    <t>Ajouter 1 à 2 séances cardio par semaine pendant les jours de repos.</t>
  </si>
  <si>
    <t>Jour 2 ou 3 : pull</t>
  </si>
  <si>
    <t>Séance legs</t>
  </si>
  <si>
    <t>Niveau 3 : PUSH / PULL / LEGS</t>
  </si>
  <si>
    <r>
      <t xml:space="preserve">Jour 2  : REPOS </t>
    </r>
    <r>
      <rPr>
        <b/>
        <sz val="11"/>
        <color rgb="FFFF0000"/>
        <rFont val="Calibri"/>
        <family val="2"/>
        <scheme val="minor"/>
      </rPr>
      <t>ou</t>
    </r>
    <r>
      <rPr>
        <b/>
        <sz val="11"/>
        <color theme="1"/>
        <rFont val="Calibri"/>
        <family val="2"/>
        <scheme val="minor"/>
      </rPr>
      <t xml:space="preserve"> faites la séance prévue le jour suivant</t>
    </r>
  </si>
  <si>
    <r>
      <t xml:space="preserve">Jour 4  : REPOS </t>
    </r>
    <r>
      <rPr>
        <b/>
        <sz val="11"/>
        <color rgb="FFFF0000"/>
        <rFont val="Calibri"/>
        <family val="2"/>
        <scheme val="minor"/>
      </rPr>
      <t>ou</t>
    </r>
    <r>
      <rPr>
        <b/>
        <sz val="11"/>
        <color theme="1"/>
        <rFont val="Calibri"/>
        <family val="2"/>
        <scheme val="minor"/>
      </rPr>
      <t xml:space="preserve"> faites la séance prévue le jour suivant</t>
    </r>
  </si>
  <si>
    <t>Jour 3 ou 4 : legs</t>
  </si>
  <si>
    <t>1'30</t>
  </si>
  <si>
    <t>1' à '30</t>
  </si>
  <si>
    <t>Semaine 4</t>
  </si>
  <si>
    <t>Semaine 5</t>
  </si>
  <si>
    <t>Semaine 6</t>
  </si>
  <si>
    <t>Il faut au moins rester 6 semaines sur ce niveau. Vous pouvez le continuer ou passer au niveau 4, si vous avez envie de changer votre routine.</t>
  </si>
  <si>
    <t>Niveau 4 : half body</t>
  </si>
  <si>
    <t>Séance haut du corps</t>
  </si>
  <si>
    <t>Ils sont par bloc séparé par une ligne jaune. Pour les max avec minimum x répétitions, vous pouvez faire des rest pauses pour valider le mode.</t>
  </si>
  <si>
    <t>Air squat</t>
  </si>
  <si>
    <t>Air Squat</t>
  </si>
  <si>
    <t>Exemple:</t>
  </si>
  <si>
    <t>Hip trust</t>
  </si>
  <si>
    <t>Mollets debout 2 jambe</t>
  </si>
  <si>
    <t>1 série de traction traction, suivi d'une série de dips puis repos série et reprendre. Une fois que toutes les séries ont été faites. Reposez-vous au temps indiqué</t>
  </si>
  <si>
    <t>Objectif : Ce niveau comportera des exercices en superset, c'est-à-dire, deux exercices effectués ensemble sans temps de repos entre eux (vous vous reposez cependant après le second exercice).</t>
  </si>
  <si>
    <t>Test: faites les exercices ci-dessous dans l'ordre en 1x max de répétitions, une fois que vous avez terminé, faites sans temps de repos le deuxième exercice puis prenez 1'30 à 2' de repos avant de faire l'exercice suivant.</t>
  </si>
  <si>
    <t>Avertissement</t>
  </si>
  <si>
    <t>Avant de commencer tout programme d'exercice, il est crucial de consulter votre médecin pour vous assurer qu'il est sûr et adapté à votre condition physique.</t>
  </si>
  <si>
    <t>Ce programme d'entraînement est fourni à titre informatif uniquement et ne constitue en aucun cas un conseil médical. Il est important de comprendre que chaque individu est unique et que ce qui fonctionne pour une personne peut ne pas convenir à une autre.</t>
  </si>
  <si>
    <t>L'auteur décline toute responsabilité en cas de blessure ou de dommage résultant d'une mauvaise exécution ou interprétation des exercices décrits dans ce document. Il est essentiel de suivre attentivement les instructions et d'adapter le programme à vos capacités individuelles.</t>
  </si>
  <si>
    <t>N'hésitez pas à modifier les exercices ou à réduire l'intensité si vous ressentez une douleur quelconque. Il est primordial de privilégier la sécurité et de ne jamais pousser votre corps au-delà de ses limites.</t>
  </si>
  <si>
    <t>Partage du document</t>
  </si>
  <si>
    <t>En résumé:</t>
  </si>
  <si>
    <t>En suivant ces directives, vous pouvez contribuer à garantir une expérience d'entraînement sûre et bénéfique pour tous ceux qui utilisent ce programme.</t>
  </si>
  <si>
    <t>Ce document est libre de partage, à condition de respecter les mentions de copyright. L'auteur conserve tous les droits sur son contenu.</t>
  </si>
  <si>
    <t>En diffusant ce programme, veuillez mentionner la source: https://methode-jvc.webador.be/acte-1-pdc-l-eveil-du-heros</t>
  </si>
  <si>
    <t>- Ce programme est fourni à titre informatif uniquement et ne remplace pas un avis médical.</t>
  </si>
  <si>
    <t>- L'auteur décline toute responsabilité en cas de blessure ou de dommage.</t>
  </si>
  <si>
    <t>- Adaptez le programme à vos capacités individuelles et respectez vos limites.</t>
  </si>
  <si>
    <t>- Ce document est libre de partage, à condition de respecter les mentions de copyright.</t>
  </si>
  <si>
    <t>- Consultez votre médecin avant de commencer tout programme d'exercice.</t>
  </si>
  <si>
    <t>Avant de commencer l'entrainement, veuillez vous échauffer (cliquez ici)</t>
  </si>
  <si>
    <t>En fin de séance, n'oubliez pas de vous étirer (voir vidéo)</t>
  </si>
  <si>
    <t>Répétez le test et inscriver les nouvelles données. Recommencer la première semaine avec les nouvelles données.</t>
  </si>
  <si>
    <t>Relevé de jambes au sol ou suspendues suivant votre niveau</t>
  </si>
  <si>
    <t>Tractions australiennes</t>
  </si>
  <si>
    <t>Il faut au moins rester 3 semaines sur ce niveau. Vous pouvez le continuer ou passer au niveau 5, si vous avez envie de changer votre routine.</t>
  </si>
  <si>
    <t>IMC</t>
  </si>
  <si>
    <t>Votre poids (m):</t>
  </si>
  <si>
    <t>Exemple: 1,83</t>
  </si>
  <si>
    <t>Votre taille en m:</t>
  </si>
  <si>
    <t>Interprétation (d’après l’OMS)</t>
  </si>
  <si>
    <t>moins de 18,5</t>
  </si>
  <si>
    <t>Insuffisance pondérale (maigreur)</t>
  </si>
  <si>
    <t>18,5 à 25</t>
  </si>
  <si>
    <t>Corpulence normale</t>
  </si>
  <si>
    <t>25 à 30</t>
  </si>
  <si>
    <t>Surpoids</t>
  </si>
  <si>
    <t>30 à 35</t>
  </si>
  <si>
    <t>Obésité modérée</t>
  </si>
  <si>
    <t>Obésité sévère</t>
  </si>
  <si>
    <t>plus de 40</t>
  </si>
  <si>
    <t>Obésité morbide ou massive</t>
  </si>
  <si>
    <t>Indice de masse corporelle (IMC)</t>
  </si>
  <si>
    <t xml:space="preserve">35 à 40 </t>
  </si>
  <si>
    <t>Calculer son IMC peut être utile pour :</t>
  </si>
  <si>
    <t>Avoir une idée générale de son poids par rapport à sa taille. Il est important de noter que l'IMC n'est qu'une mesure approximative et ne tient pas compte de la masse musculaire, de la masse osseuse ou de la répartition de la graisse dans le corps.</t>
  </si>
  <si>
    <t>Identifier les risques potentiels pour la santé. Un IMC trop bas ou trop élevé peut augmenter le risque de certains problèmes de santé, tels que les maladies cardiaques, les accidents vasculaires cérébraux, le diabète de type 2 et certains types de cancer.</t>
  </si>
  <si>
    <t>Suivre ses progrès au fil du temps. Si vous essayez de perdre du poids ou de prendre du muscle, l'IMC peut être un outil utile pour suivre vos progrès.</t>
  </si>
  <si>
    <t>Il est important de noter que l'IMC ne doit pas être utilisé comme seul indicateur de la santé. Il est toujours préférable de consulter un professionnel de la santé pour une évaluation complète de votre poids et de votre santé.</t>
  </si>
  <si>
    <t>Exemple de plan alimentaire prise de muscle</t>
  </si>
  <si>
    <t>Ce plan alimentaire est un exemple et doit être adapté à vos besoins individuels. Il est important de consulter un diététicien ou un nutritionniste pour obtenir un plan personnalisé qui tienne compte de vos objectifs, de votre état de santé et de vos habitudes alimentaires.</t>
  </si>
  <si>
    <t>Petit-déjeuner (400 kcal):</t>
  </si>
  <si>
    <t>2 œufs entiers</t>
  </si>
  <si>
    <t>50g de flocons d'avoine</t>
  </si>
  <si>
    <t>1 banane</t>
  </si>
  <si>
    <t>200ml de lait entier</t>
  </si>
  <si>
    <t>Collation matinale (200 kcal):</t>
  </si>
  <si>
    <t>200g de yaourt grec</t>
  </si>
  <si>
    <t>30g de fruits à coque</t>
  </si>
  <si>
    <t>Déjeuner (600 kcal):</t>
  </si>
  <si>
    <t>150g de poulet grillé</t>
  </si>
  <si>
    <t>150g de riz brun</t>
  </si>
  <si>
    <t>100g de brocolis vapeur</t>
  </si>
  <si>
    <t>1 cuillère à soupe d'huile d'olive</t>
  </si>
  <si>
    <t>Collation après-midi (200 kcal):</t>
  </si>
  <si>
    <t>1 pomme</t>
  </si>
  <si>
    <t>30g de beurre de cacahuète</t>
  </si>
  <si>
    <t>Dîner (600 kcal):</t>
  </si>
  <si>
    <t>120g de saumon grillé</t>
  </si>
  <si>
    <t>150g de patate douce</t>
  </si>
  <si>
    <t>150g de haricots verts</t>
  </si>
  <si>
    <t>Collation soir (200 kcal):</t>
  </si>
  <si>
    <t>250g de fromage blanc</t>
  </si>
  <si>
    <t>1 poignée de fruits rouges</t>
  </si>
  <si>
    <t>Pour calculer ses macros, vous pouvez utiliser ce site: https://calculator-online.net/fr/macro-calculator/</t>
  </si>
  <si>
    <t>Pompes diamant</t>
  </si>
  <si>
    <t>Hammer curl</t>
  </si>
  <si>
    <t>Objectif : Vous allez principalement vous concentrer sur les pectoraux. Ajouter du lest dès que possible.</t>
  </si>
  <si>
    <t>3x8-13 aux haltères</t>
  </si>
  <si>
    <t>Séance 1 &amp; 4</t>
  </si>
  <si>
    <t>Séance 2</t>
  </si>
  <si>
    <t>Séance 3</t>
  </si>
  <si>
    <t>Séance 1</t>
  </si>
  <si>
    <t>1 jambe à la fois</t>
  </si>
  <si>
    <t>Ne pas dépasser 6 semaines sur ce niveau.</t>
  </si>
  <si>
    <t>Vous pouvez ajouter du lest et refaire le test pour savoir combien de répétitions il faudra faire.</t>
  </si>
  <si>
    <t>Répétez le test et saisissez les nouvelles données. Répétez la première semaine avec les nouvelles données.</t>
  </si>
  <si>
    <t>Rattrapage des pectoraux</t>
  </si>
  <si>
    <t>Rattrapage du dos</t>
  </si>
  <si>
    <t>Objectif : Vous allez principalement vous concentrer sur le dos. Ajouter du lest dès que possible.</t>
  </si>
  <si>
    <t>Traction suspination</t>
  </si>
  <si>
    <t>Séance 4</t>
  </si>
  <si>
    <t>Rattrapage des bras</t>
  </si>
  <si>
    <t>Objectif : Vous allez principalement vous concentrer sur les bras. Ajouter du lest dès que possible.</t>
  </si>
  <si>
    <t>Ce programme ne peut être réaliser que si vous avez terminé les niveaux précédents (1 à 4).</t>
  </si>
  <si>
    <t>Dips entre deux supports</t>
  </si>
  <si>
    <t>Magyc triceps</t>
  </si>
  <si>
    <t>3x8-13 haltère</t>
  </si>
  <si>
    <t>Si vous avez des haltères, vous pouvez faire du curl haltères au format: 4x8-13 répétitions. Une fois que vous avez validé 13 répétitions, reprenez à 8 et augmenter le poids de 1 à 2;5 kg</t>
  </si>
  <si>
    <t>Jour 5  : REPOS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</si>
</sst>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rgb="FF1E1E1E"/>
      <name val="Segoe UI"/>
      <family val="2"/>
    </font>
    <font>
      <b/>
      <u/>
      <sz val="11"/>
      <color theme="1"/>
      <name val="Calibri"/>
      <family val="2"/>
      <scheme val="minor"/>
    </font>
    <font>
      <b/>
      <sz val="9.9"/>
      <color rgb="FF003333"/>
      <name val="Arial"/>
      <family val="2"/>
    </font>
    <font>
      <u/>
      <sz val="11"/>
      <color theme="10"/>
      <name val="Calibri"/>
      <family val="2"/>
      <scheme val="minor"/>
    </font>
    <font>
      <b/>
      <sz val="11"/>
      <color rgb="FFFF0000"/>
      <name val="Calibri"/>
      <family val="2"/>
      <scheme val="minor"/>
    </font>
    <font>
      <sz val="11"/>
      <color theme="1"/>
      <name val="Arial"/>
      <family val="2"/>
    </font>
    <font>
      <sz val="11"/>
      <color theme="0"/>
      <name val="Arial"/>
      <family val="2"/>
    </font>
    <font>
      <b/>
      <sz val="18"/>
      <color rgb="FFC00000"/>
      <name val="Arial"/>
      <family val="2"/>
    </font>
    <font>
      <b/>
      <sz val="11"/>
      <color theme="1"/>
      <name val="Arial"/>
      <family val="2"/>
    </font>
    <font>
      <b/>
      <sz val="12"/>
      <color rgb="FFFF0000"/>
      <name val="Arial"/>
      <family val="2"/>
    </font>
    <font>
      <sz val="11"/>
      <color rgb="FFFF0000"/>
      <name val="Arial"/>
      <family val="2"/>
    </font>
    <font>
      <sz val="12"/>
      <color rgb="FF696969"/>
      <name val="Arial"/>
      <family val="2"/>
    </font>
    <font>
      <b/>
      <i/>
      <u/>
      <sz val="11"/>
      <color theme="0"/>
      <name val="Arial"/>
      <family val="2"/>
    </font>
    <font>
      <b/>
      <i/>
      <sz val="11"/>
      <color theme="1"/>
      <name val="Arial"/>
      <family val="2"/>
    </font>
    <font>
      <sz val="10"/>
      <color theme="1"/>
      <name val="Arial"/>
      <family val="2"/>
    </font>
    <font>
      <b/>
      <i/>
      <u/>
      <sz val="14"/>
      <color rgb="FFC00000"/>
      <name val="Arial"/>
      <family val="2"/>
    </font>
    <font>
      <i/>
      <sz val="11"/>
      <color theme="1"/>
      <name val="Arial"/>
      <family val="2"/>
    </font>
    <font>
      <b/>
      <i/>
      <sz val="14"/>
      <color theme="0"/>
      <name val="Arial"/>
      <family val="2"/>
    </font>
    <font>
      <b/>
      <sz val="11"/>
      <color theme="0"/>
      <name val="Arial"/>
      <family val="2"/>
    </font>
    <font>
      <b/>
      <sz val="12"/>
      <color theme="0"/>
      <name val="Arial"/>
      <family val="2"/>
    </font>
    <font>
      <sz val="11"/>
      <color theme="0"/>
      <name val="Calibri"/>
      <family val="2"/>
      <scheme val="minor"/>
    </font>
    <font>
      <b/>
      <i/>
      <sz val="10"/>
      <name val="Arial"/>
      <family val="2"/>
    </font>
    <font>
      <b/>
      <sz val="10"/>
      <color theme="0"/>
      <name val="Arial"/>
      <family val="2"/>
    </font>
    <font>
      <b/>
      <u/>
      <sz val="11"/>
      <color theme="0"/>
      <name val="Calibri"/>
      <family val="2"/>
      <scheme val="minor"/>
    </font>
    <font>
      <u/>
      <sz val="11"/>
      <color theme="0"/>
      <name val="Calibri"/>
      <family val="2"/>
      <scheme val="minor"/>
    </font>
    <font>
      <b/>
      <i/>
      <sz val="9.9"/>
      <color theme="0"/>
      <name val="Arial"/>
      <family val="2"/>
    </font>
    <font>
      <b/>
      <u/>
      <sz val="11"/>
      <color rgb="FFFF0000"/>
      <name val="Calibri"/>
      <family val="2"/>
      <scheme val="minor"/>
    </font>
    <font>
      <b/>
      <sz val="11"/>
      <color theme="0"/>
      <name val="Algerian"/>
      <family val="5"/>
    </font>
    <font>
      <b/>
      <sz val="14"/>
      <color theme="0"/>
      <name val="Algerian"/>
      <family val="5"/>
    </font>
    <font>
      <b/>
      <u/>
      <sz val="11"/>
      <color rgb="FF66FFFF"/>
      <name val="Calibri"/>
      <family val="2"/>
      <scheme val="minor"/>
    </font>
    <font>
      <b/>
      <i/>
      <sz val="18"/>
      <color theme="0"/>
      <name val="Algerian"/>
      <family val="5"/>
    </font>
    <font>
      <sz val="12"/>
      <color theme="0"/>
      <name val="Segoe UI"/>
      <family val="2"/>
    </font>
    <font>
      <b/>
      <sz val="11"/>
      <color rgb="FFFFFF00"/>
      <name val="Calibri"/>
      <family val="2"/>
      <scheme val="minor"/>
    </font>
    <font>
      <b/>
      <sz val="18"/>
      <color rgb="FFFF0000"/>
      <name val="Calibri"/>
      <family val="2"/>
      <scheme val="minor"/>
    </font>
    <font>
      <u/>
      <sz val="11"/>
      <color rgb="FF66FFFF"/>
      <name val="Calibri"/>
      <family val="2"/>
      <scheme val="minor"/>
    </font>
    <font>
      <b/>
      <u/>
      <sz val="11"/>
      <color rgb="FFFFFF00"/>
      <name val="Calibri"/>
      <family val="2"/>
      <scheme val="minor"/>
    </font>
    <font>
      <b/>
      <u/>
      <sz val="11"/>
      <color theme="7"/>
      <name val="Calibri"/>
      <family val="2"/>
      <scheme val="minor"/>
    </font>
    <font>
      <b/>
      <u/>
      <sz val="11"/>
      <color rgb="FFFFC000"/>
      <name val="Calibri"/>
      <family val="2"/>
      <scheme val="minor"/>
    </font>
    <font>
      <sz val="11"/>
      <color rgb="FFFFFF00"/>
      <name val="Arial"/>
      <family val="2"/>
    </font>
    <font>
      <i/>
      <sz val="11"/>
      <color theme="0"/>
      <name val="Calibri"/>
      <family val="2"/>
      <scheme val="minor"/>
    </font>
    <font>
      <sz val="10"/>
      <color theme="0"/>
      <name val="Arial"/>
      <family val="2"/>
    </font>
    <font>
      <b/>
      <sz val="11"/>
      <color rgb="FF66FFFF"/>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1"/>
        <bgColor indexed="64"/>
      </patternFill>
    </fill>
    <fill>
      <patternFill patternType="solid">
        <fgColor theme="4"/>
        <bgColor indexed="64"/>
      </patternFill>
    </fill>
    <fill>
      <patternFill patternType="darkTrellis"/>
    </fill>
    <fill>
      <patternFill patternType="solid">
        <fgColor rgb="FF002060"/>
        <bgColor indexed="64"/>
      </patternFill>
    </fill>
    <fill>
      <patternFill patternType="darkTrellis">
        <bgColor theme="1"/>
      </patternFill>
    </fill>
  </fills>
  <borders count="77">
    <border>
      <left/>
      <right/>
      <top/>
      <bottom/>
      <diagonal/>
    </border>
    <border>
      <left style="medium">
        <color auto="1"/>
      </left>
      <right/>
      <top/>
      <bottom/>
      <diagonal/>
    </border>
    <border>
      <left style="thin">
        <color auto="1"/>
      </left>
      <right style="thin">
        <color auto="1"/>
      </right>
      <top style="thin">
        <color auto="1"/>
      </top>
      <bottom/>
      <diagonal/>
    </border>
    <border>
      <left style="medium">
        <color rgb="FFFF0000"/>
      </left>
      <right style="medium">
        <color rgb="FFFF0000"/>
      </right>
      <top style="medium">
        <color rgb="FFFF0000"/>
      </top>
      <bottom style="medium">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top style="medium">
        <color rgb="FFFF0000"/>
      </top>
      <bottom style="medium">
        <color rgb="FFFF0000"/>
      </bottom>
      <diagonal/>
    </border>
    <border>
      <left style="medium">
        <color theme="0"/>
      </left>
      <right style="medium">
        <color theme="0"/>
      </right>
      <top style="medium">
        <color theme="0"/>
      </top>
      <bottom style="medium">
        <color rgb="FF000000"/>
      </bottom>
      <diagonal/>
    </border>
    <border>
      <left style="medium">
        <color theme="0"/>
      </left>
      <right style="medium">
        <color theme="0"/>
      </right>
      <top/>
      <bottom style="medium">
        <color rgb="FFCCCCCC"/>
      </bottom>
      <diagonal/>
    </border>
    <border>
      <left style="medium">
        <color theme="0"/>
      </left>
      <right style="medium">
        <color theme="0"/>
      </right>
      <top/>
      <bottom style="medium">
        <color theme="0"/>
      </bottom>
      <diagonal/>
    </border>
    <border>
      <left style="medium">
        <color rgb="FFFF0000"/>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thin">
        <color rgb="FFFF0000"/>
      </top>
      <bottom/>
      <diagonal/>
    </border>
    <border>
      <left/>
      <right/>
      <top style="thin">
        <color rgb="FFFF0000"/>
      </top>
      <bottom/>
      <diagonal/>
    </border>
    <border>
      <left style="medium">
        <color auto="1"/>
      </left>
      <right/>
      <top style="medium">
        <color auto="1"/>
      </top>
      <bottom/>
      <diagonal/>
    </border>
    <border>
      <left style="medium">
        <color rgb="FFFF0000"/>
      </left>
      <right style="medium">
        <color rgb="FFFF0000"/>
      </right>
      <top style="medium">
        <color rgb="FFFF0000"/>
      </top>
      <bottom style="medium">
        <color rgb="FFFFFF00"/>
      </bottom>
      <diagonal/>
    </border>
    <border>
      <left style="thin">
        <color rgb="FFFF0000"/>
      </left>
      <right style="thin">
        <color rgb="FFFF0000"/>
      </right>
      <top style="thin">
        <color rgb="FFFF0000"/>
      </top>
      <bottom style="medium">
        <color rgb="FFFFFF00"/>
      </bottom>
      <diagonal/>
    </border>
    <border>
      <left style="medium">
        <color rgb="FFFF0000"/>
      </left>
      <right/>
      <top style="medium">
        <color rgb="FFFF0000"/>
      </top>
      <bottom style="medium">
        <color rgb="FFFFFF00"/>
      </bottom>
      <diagonal/>
    </border>
    <border>
      <left style="thin">
        <color rgb="FFFF0000"/>
      </left>
      <right/>
      <top style="thin">
        <color rgb="FFFF0000"/>
      </top>
      <bottom style="medium">
        <color rgb="FFFFFF00"/>
      </bottom>
      <diagonal/>
    </border>
    <border>
      <left style="thin">
        <color rgb="FFFF0000"/>
      </left>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style="medium">
        <color rgb="FFFFFF00"/>
      </bottom>
      <diagonal/>
    </border>
    <border>
      <left style="thin">
        <color rgb="FFFF0000"/>
      </left>
      <right style="medium">
        <color rgb="FFFFFF00"/>
      </right>
      <top style="thin">
        <color rgb="FFFF0000"/>
      </top>
      <bottom style="thin">
        <color rgb="FFFF0000"/>
      </bottom>
      <diagonal/>
    </border>
    <border>
      <left style="medium">
        <color rgb="FFFFFF00"/>
      </left>
      <right style="medium">
        <color rgb="FFFFFF00"/>
      </right>
      <top style="thin">
        <color rgb="FFFF0000"/>
      </top>
      <bottom style="thin">
        <color rgb="FFFF0000"/>
      </bottom>
      <diagonal/>
    </border>
    <border>
      <left style="medium">
        <color rgb="FFFFFF00"/>
      </left>
      <right style="thin">
        <color rgb="FFFF0000"/>
      </right>
      <top style="thin">
        <color rgb="FFFF0000"/>
      </top>
      <bottom style="thin">
        <color rgb="FFFF0000"/>
      </bottom>
      <diagonal/>
    </border>
    <border>
      <left style="thin">
        <color rgb="FFFF0000"/>
      </left>
      <right style="medium">
        <color rgb="FFFFFF00"/>
      </right>
      <top style="thin">
        <color rgb="FFFF0000"/>
      </top>
      <bottom style="medium">
        <color rgb="FFFFFF00"/>
      </bottom>
      <diagonal/>
    </border>
    <border>
      <left style="medium">
        <color rgb="FFFFFF00"/>
      </left>
      <right style="medium">
        <color rgb="FFFFFF00"/>
      </right>
      <top style="thin">
        <color rgb="FFFF0000"/>
      </top>
      <bottom style="medium">
        <color rgb="FFFFFF00"/>
      </bottom>
      <diagonal/>
    </border>
    <border>
      <left style="medium">
        <color rgb="FFFFFF00"/>
      </left>
      <right style="thin">
        <color rgb="FFFF0000"/>
      </right>
      <top style="thin">
        <color rgb="FFFF0000"/>
      </top>
      <bottom style="medium">
        <color rgb="FFFFFF00"/>
      </bottom>
      <diagonal/>
    </border>
    <border>
      <left style="thin">
        <color rgb="FFFF0000"/>
      </left>
      <right style="thin">
        <color rgb="FFFF0000"/>
      </right>
      <top style="medium">
        <color rgb="FFFFFF00"/>
      </top>
      <bottom/>
      <diagonal/>
    </border>
    <border>
      <left style="thin">
        <color rgb="FFFF0000"/>
      </left>
      <right style="thin">
        <color rgb="FFFF0000"/>
      </right>
      <top style="medium">
        <color rgb="FFFFFF00"/>
      </top>
      <bottom style="thin">
        <color rgb="FFFF0000"/>
      </bottom>
      <diagonal/>
    </border>
    <border>
      <left style="thin">
        <color rgb="FFFF0000"/>
      </left>
      <right style="medium">
        <color rgb="FFFFFF00"/>
      </right>
      <top style="medium">
        <color rgb="FFFFFF00"/>
      </top>
      <bottom style="thin">
        <color rgb="FFFF0000"/>
      </bottom>
      <diagonal/>
    </border>
    <border>
      <left style="medium">
        <color rgb="FFFFFF00"/>
      </left>
      <right style="medium">
        <color rgb="FFFFFF00"/>
      </right>
      <top style="medium">
        <color rgb="FFFFFF00"/>
      </top>
      <bottom style="thin">
        <color rgb="FFFF0000"/>
      </bottom>
      <diagonal/>
    </border>
    <border>
      <left style="medium">
        <color rgb="FFFFFF00"/>
      </left>
      <right style="thin">
        <color rgb="FFFF0000"/>
      </right>
      <top style="medium">
        <color rgb="FFFFFF00"/>
      </top>
      <bottom style="thin">
        <color rgb="FFFF0000"/>
      </bottom>
      <diagonal/>
    </border>
    <border>
      <left style="thin">
        <color rgb="FFFF0000"/>
      </left>
      <right style="medium">
        <color rgb="FFFFFF00"/>
      </right>
      <top/>
      <bottom style="thin">
        <color rgb="FFFF0000"/>
      </bottom>
      <diagonal/>
    </border>
    <border>
      <left style="medium">
        <color rgb="FFFFFF00"/>
      </left>
      <right style="medium">
        <color rgb="FFFFFF00"/>
      </right>
      <top/>
      <bottom style="thin">
        <color rgb="FFFF0000"/>
      </bottom>
      <diagonal/>
    </border>
    <border>
      <left style="medium">
        <color rgb="FFFFFF00"/>
      </left>
      <right style="thin">
        <color rgb="FFFF0000"/>
      </right>
      <top/>
      <bottom style="thin">
        <color rgb="FFFF0000"/>
      </bottom>
      <diagonal/>
    </border>
    <border>
      <left style="medium">
        <color rgb="FFFF0000"/>
      </left>
      <right style="thin">
        <color rgb="FFFF0000"/>
      </right>
      <top style="medium">
        <color rgb="FFFF0000"/>
      </top>
      <bottom style="medium">
        <color rgb="FFFFFF00"/>
      </bottom>
      <diagonal/>
    </border>
    <border>
      <left style="medium">
        <color rgb="FFFF0000"/>
      </left>
      <right style="thin">
        <color rgb="FFFF0000"/>
      </right>
      <top style="medium">
        <color rgb="FFFF0000"/>
      </top>
      <bottom/>
      <diagonal/>
    </border>
    <border>
      <left style="medium">
        <color auto="1"/>
      </left>
      <right/>
      <top/>
      <bottom style="thin">
        <color rgb="FFFF0000"/>
      </bottom>
      <diagonal/>
    </border>
    <border>
      <left/>
      <right/>
      <top/>
      <bottom style="thin">
        <color rgb="FFFF0000"/>
      </bottom>
      <diagonal/>
    </border>
    <border>
      <left style="medium">
        <color auto="1"/>
      </left>
      <right/>
      <top style="thin">
        <color rgb="FFFF0000"/>
      </top>
      <bottom style="thin">
        <color auto="1"/>
      </bottom>
      <diagonal/>
    </border>
    <border>
      <left/>
      <right/>
      <top style="thin">
        <color rgb="FFFF0000"/>
      </top>
      <bottom style="thin">
        <color auto="1"/>
      </bottom>
      <diagonal/>
    </border>
    <border>
      <left style="medium">
        <color auto="1"/>
      </left>
      <right/>
      <top style="thin">
        <color rgb="FFFF0000"/>
      </top>
      <bottom style="thin">
        <color rgb="FFFF0000"/>
      </bottom>
      <diagonal/>
    </border>
    <border>
      <left/>
      <right/>
      <top style="thin">
        <color rgb="FFFF0000"/>
      </top>
      <bottom style="thin">
        <color rgb="FFFF0000"/>
      </bottom>
      <diagonal/>
    </border>
    <border>
      <left style="medium">
        <color rgb="FFFF0000"/>
      </left>
      <right style="medium">
        <color rgb="FFFF0000"/>
      </right>
      <top style="medium">
        <color rgb="FFFF0000"/>
      </top>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bottom style="medium">
        <color rgb="FFFF0000"/>
      </bottom>
      <diagonal/>
    </border>
    <border>
      <left style="dashDotDot">
        <color rgb="FFFF0000"/>
      </left>
      <right/>
      <top style="dashDotDot">
        <color rgb="FFFF0000"/>
      </top>
      <bottom style="dashDotDot">
        <color rgb="FFFF0000"/>
      </bottom>
      <diagonal/>
    </border>
    <border>
      <left/>
      <right style="dashDotDot">
        <color rgb="FFFF0000"/>
      </right>
      <top style="dashDotDot">
        <color rgb="FFFF0000"/>
      </top>
      <bottom style="dashDotDot">
        <color rgb="FFFF0000"/>
      </bottom>
      <diagonal/>
    </border>
    <border>
      <left style="medium">
        <color rgb="FFFF0000"/>
      </left>
      <right style="medium">
        <color rgb="FFFF0000"/>
      </right>
      <top style="thin">
        <color rgb="FFFF0000"/>
      </top>
      <bottom style="medium">
        <color rgb="FFFF0000"/>
      </bottom>
      <diagonal/>
    </border>
    <border>
      <left style="medium">
        <color rgb="FFFF0000"/>
      </left>
      <right style="medium">
        <color rgb="FFFF0000"/>
      </right>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medium">
        <color rgb="FFFF0000"/>
      </top>
      <bottom style="thin">
        <color rgb="FFFF0000"/>
      </bottom>
      <diagonal/>
    </border>
    <border>
      <left style="medium">
        <color rgb="FFFF0000"/>
      </left>
      <right/>
      <top style="medium">
        <color rgb="FFFF0000"/>
      </top>
      <bottom style="thin">
        <color rgb="FFFF0000"/>
      </bottom>
      <diagonal/>
    </border>
    <border>
      <left style="medium">
        <color rgb="FFFF0000"/>
      </left>
      <right/>
      <top style="thin">
        <color rgb="FFFF0000"/>
      </top>
      <bottom style="thin">
        <color rgb="FFFF0000"/>
      </bottom>
      <diagonal/>
    </border>
    <border>
      <left/>
      <right style="medium">
        <color rgb="FFFF0000"/>
      </right>
      <top style="medium">
        <color rgb="FFFF0000"/>
      </top>
      <bottom style="thin">
        <color rgb="FFFF0000"/>
      </bottom>
      <diagonal/>
    </border>
    <border>
      <left/>
      <right style="medium">
        <color rgb="FFFF0000"/>
      </right>
      <top/>
      <bottom style="thin">
        <color rgb="FFFF0000"/>
      </bottom>
      <diagonal/>
    </border>
    <border>
      <left/>
      <right style="medium">
        <color rgb="FFFF0000"/>
      </right>
      <top style="thin">
        <color rgb="FFFF0000"/>
      </top>
      <bottom style="thin">
        <color rgb="FFFF0000"/>
      </bottom>
      <diagonal/>
    </border>
    <border>
      <left/>
      <right style="thin">
        <color rgb="FFFF0000"/>
      </right>
      <top/>
      <bottom style="thin">
        <color rgb="FFFF0000"/>
      </bottom>
      <diagonal/>
    </border>
    <border>
      <left style="thin">
        <color rgb="FFFF0000"/>
      </left>
      <right style="medium">
        <color rgb="FFFF0000"/>
      </right>
      <top style="dashDotDot">
        <color rgb="FFFF0000"/>
      </top>
      <bottom style="thin">
        <color rgb="FFFF0000"/>
      </bottom>
      <diagonal/>
    </border>
    <border>
      <left/>
      <right style="medium">
        <color rgb="FFFF0000"/>
      </right>
      <top style="thin">
        <color rgb="FFFF0000"/>
      </top>
      <bottom style="medium">
        <color rgb="FFFF0000"/>
      </bottom>
      <diagonal/>
    </border>
    <border>
      <left style="medium">
        <color rgb="FFFF0000"/>
      </left>
      <right/>
      <top style="thin">
        <color rgb="FFFF0000"/>
      </top>
      <bottom style="medium">
        <color rgb="FFFF0000"/>
      </bottom>
      <diagonal/>
    </border>
  </borders>
  <cellStyleXfs count="2">
    <xf numFmtId="0" fontId="0" fillId="0" borderId="0"/>
    <xf numFmtId="0" fontId="7" fillId="0" borderId="0" applyNumberFormat="0" applyFill="0" applyBorder="0" applyAlignment="0" applyProtection="0"/>
  </cellStyleXfs>
  <cellXfs count="269">
    <xf numFmtId="0" fontId="0" fillId="0" borderId="0" xfId="0"/>
    <xf numFmtId="0" fontId="0" fillId="12" borderId="0" xfId="0" applyFill="1"/>
    <xf numFmtId="0" fontId="1" fillId="12" borderId="0" xfId="0" applyFont="1" applyFill="1" applyAlignment="1">
      <alignment horizontal="center"/>
    </xf>
    <xf numFmtId="0" fontId="21" fillId="12" borderId="0" xfId="0" applyFont="1" applyFill="1"/>
    <xf numFmtId="0" fontId="10" fillId="12" borderId="0" xfId="0" applyFont="1" applyFill="1"/>
    <xf numFmtId="0" fontId="10" fillId="12" borderId="0" xfId="0" applyFont="1" applyFill="1" applyAlignment="1">
      <alignment vertical="center"/>
    </xf>
    <xf numFmtId="0" fontId="23" fillId="12" borderId="0" xfId="0" applyFont="1" applyFill="1" applyAlignment="1">
      <alignment vertical="center"/>
    </xf>
    <xf numFmtId="0" fontId="0" fillId="0" borderId="0" xfId="0" applyAlignment="1">
      <alignment horizontal="center" vertical="center"/>
    </xf>
    <xf numFmtId="0" fontId="24" fillId="12" borderId="0" xfId="0" applyFont="1" applyFill="1"/>
    <xf numFmtId="0" fontId="25" fillId="12" borderId="0" xfId="0" applyFont="1" applyFill="1" applyAlignment="1">
      <alignment horizontal="left" vertical="center"/>
    </xf>
    <xf numFmtId="0" fontId="0" fillId="12" borderId="0" xfId="0" applyFill="1" applyAlignment="1">
      <alignment horizontal="center" vertical="center"/>
    </xf>
    <xf numFmtId="0" fontId="27" fillId="12" borderId="0" xfId="0" applyFont="1" applyFill="1"/>
    <xf numFmtId="0" fontId="5" fillId="12" borderId="0" xfId="0" applyFont="1" applyFill="1"/>
    <xf numFmtId="0" fontId="24" fillId="12" borderId="4" xfId="0" applyFont="1" applyFill="1" applyBorder="1"/>
    <xf numFmtId="0" fontId="24" fillId="12" borderId="12" xfId="0" applyFont="1" applyFill="1" applyBorder="1" applyAlignment="1">
      <alignment horizontal="center" vertical="center"/>
    </xf>
    <xf numFmtId="0" fontId="24" fillId="12" borderId="15" xfId="0" applyFont="1" applyFill="1" applyBorder="1" applyAlignment="1">
      <alignment horizontal="center" vertical="center"/>
    </xf>
    <xf numFmtId="0" fontId="9" fillId="12" borderId="0" xfId="0" applyFont="1" applyFill="1"/>
    <xf numFmtId="0" fontId="11" fillId="12" borderId="0" xfId="0" applyFont="1" applyFill="1"/>
    <xf numFmtId="0" fontId="9" fillId="12" borderId="0" xfId="0" applyFont="1" applyFill="1" applyAlignment="1">
      <alignment vertical="center"/>
    </xf>
    <xf numFmtId="0" fontId="12" fillId="12" borderId="0" xfId="0" applyFont="1" applyFill="1" applyAlignment="1">
      <alignment vertical="center"/>
    </xf>
    <xf numFmtId="1" fontId="13" fillId="12" borderId="0" xfId="0" applyNumberFormat="1" applyFont="1" applyFill="1" applyAlignment="1">
      <alignment horizontal="center" vertical="center"/>
    </xf>
    <xf numFmtId="0" fontId="13" fillId="12" borderId="0" xfId="0" applyFont="1" applyFill="1" applyAlignment="1">
      <alignment vertical="center"/>
    </xf>
    <xf numFmtId="0" fontId="14" fillId="12" borderId="0" xfId="0" applyFont="1" applyFill="1" applyAlignment="1">
      <alignment vertical="center"/>
    </xf>
    <xf numFmtId="0" fontId="15" fillId="12" borderId="0" xfId="0" applyFont="1" applyFill="1" applyAlignment="1">
      <alignment horizontal="left" vertical="center"/>
    </xf>
    <xf numFmtId="0" fontId="19" fillId="12" borderId="0" xfId="0" applyFont="1" applyFill="1"/>
    <xf numFmtId="0" fontId="16" fillId="12" borderId="0" xfId="0" applyFont="1" applyFill="1"/>
    <xf numFmtId="0" fontId="17" fillId="12" borderId="0" xfId="0" applyFont="1" applyFill="1"/>
    <xf numFmtId="0" fontId="9" fillId="12" borderId="0" xfId="0" applyFont="1" applyFill="1" applyAlignment="1">
      <alignment horizontal="center"/>
    </xf>
    <xf numFmtId="1" fontId="9" fillId="12" borderId="0" xfId="0" applyNumberFormat="1" applyFont="1" applyFill="1" applyAlignment="1">
      <alignment horizontal="center"/>
    </xf>
    <xf numFmtId="2" fontId="12" fillId="12" borderId="0" xfId="0" applyNumberFormat="1" applyFont="1" applyFill="1" applyAlignment="1">
      <alignment horizontal="center"/>
    </xf>
    <xf numFmtId="0" fontId="12" fillId="12" borderId="0" xfId="0" applyFont="1" applyFill="1" applyAlignment="1">
      <alignment horizontal="right"/>
    </xf>
    <xf numFmtId="0" fontId="17" fillId="12" borderId="0" xfId="0" applyFont="1" applyFill="1" applyAlignment="1">
      <alignment horizontal="center" vertical="center"/>
    </xf>
    <xf numFmtId="1" fontId="18" fillId="12" borderId="0" xfId="0" applyNumberFormat="1" applyFont="1" applyFill="1" applyAlignment="1">
      <alignment horizontal="center"/>
    </xf>
    <xf numFmtId="0" fontId="20" fillId="12" borderId="0" xfId="0" applyFont="1" applyFill="1"/>
    <xf numFmtId="0" fontId="7" fillId="12" borderId="0" xfId="1" applyFill="1"/>
    <xf numFmtId="1" fontId="0" fillId="12" borderId="0" xfId="0" applyNumberFormat="1" applyFill="1"/>
    <xf numFmtId="0" fontId="1" fillId="13" borderId="3" xfId="0" applyFont="1" applyFill="1" applyBorder="1" applyAlignment="1" applyProtection="1">
      <alignment horizontal="center"/>
      <protection locked="0"/>
    </xf>
    <xf numFmtId="0" fontId="29" fillId="12" borderId="19" xfId="0" applyFont="1" applyFill="1" applyBorder="1" applyAlignment="1">
      <alignment horizontal="center" vertical="top" wrapText="1"/>
    </xf>
    <xf numFmtId="0" fontId="6" fillId="4" borderId="20" xfId="0" applyFont="1" applyFill="1" applyBorder="1" applyAlignment="1">
      <alignment vertical="top" wrapText="1"/>
    </xf>
    <xf numFmtId="0" fontId="6" fillId="4" borderId="20" xfId="0" applyFont="1" applyFill="1" applyBorder="1" applyAlignment="1">
      <alignment horizontal="center" vertical="top" wrapText="1"/>
    </xf>
    <xf numFmtId="0" fontId="6" fillId="5" borderId="20" xfId="0" applyFont="1" applyFill="1" applyBorder="1" applyAlignment="1">
      <alignment vertical="top" wrapText="1"/>
    </xf>
    <xf numFmtId="0" fontId="6" fillId="5" borderId="20" xfId="0" applyFont="1" applyFill="1" applyBorder="1" applyAlignment="1">
      <alignment horizontal="center" vertical="top" wrapText="1"/>
    </xf>
    <xf numFmtId="0" fontId="6" fillId="6" borderId="20" xfId="0" applyFont="1" applyFill="1" applyBorder="1" applyAlignment="1">
      <alignment vertical="top" wrapText="1"/>
    </xf>
    <xf numFmtId="0" fontId="6" fillId="6" borderId="20" xfId="0" applyFont="1" applyFill="1" applyBorder="1" applyAlignment="1">
      <alignment horizontal="center" vertical="top" wrapText="1"/>
    </xf>
    <xf numFmtId="0" fontId="6" fillId="2" borderId="20" xfId="0" applyFont="1" applyFill="1" applyBorder="1" applyAlignment="1">
      <alignment vertical="top" wrapText="1"/>
    </xf>
    <xf numFmtId="0" fontId="6" fillId="2" borderId="20" xfId="0" applyFont="1" applyFill="1" applyBorder="1" applyAlignment="1">
      <alignment horizontal="center" vertical="top" wrapText="1"/>
    </xf>
    <xf numFmtId="17" fontId="6" fillId="2" borderId="20" xfId="0" quotePrefix="1" applyNumberFormat="1" applyFont="1" applyFill="1" applyBorder="1" applyAlignment="1">
      <alignment horizontal="center" vertical="top" wrapText="1"/>
    </xf>
    <xf numFmtId="0" fontId="6" fillId="7" borderId="20" xfId="0" applyFont="1" applyFill="1" applyBorder="1" applyAlignment="1">
      <alignment vertical="top" wrapText="1"/>
    </xf>
    <xf numFmtId="17" fontId="6" fillId="7" borderId="20" xfId="0" quotePrefix="1" applyNumberFormat="1" applyFont="1" applyFill="1" applyBorder="1" applyAlignment="1">
      <alignment horizontal="center" vertical="top" wrapText="1"/>
    </xf>
    <xf numFmtId="16" fontId="6" fillId="7" borderId="20" xfId="0" quotePrefix="1" applyNumberFormat="1" applyFont="1" applyFill="1" applyBorder="1" applyAlignment="1">
      <alignment horizontal="center" vertical="top" wrapText="1"/>
    </xf>
    <xf numFmtId="0" fontId="6" fillId="8" borderId="20" xfId="0" applyFont="1" applyFill="1" applyBorder="1" applyAlignment="1">
      <alignment vertical="top" wrapText="1"/>
    </xf>
    <xf numFmtId="16" fontId="6" fillId="8" borderId="20" xfId="0" quotePrefix="1" applyNumberFormat="1" applyFont="1" applyFill="1" applyBorder="1" applyAlignment="1">
      <alignment horizontal="center" vertical="top" wrapText="1"/>
    </xf>
    <xf numFmtId="0" fontId="6" fillId="9" borderId="21" xfId="0" applyFont="1" applyFill="1" applyBorder="1" applyAlignment="1">
      <alignment vertical="top" wrapText="1"/>
    </xf>
    <xf numFmtId="0" fontId="6" fillId="9" borderId="21" xfId="0" applyFont="1" applyFill="1" applyBorder="1" applyAlignment="1">
      <alignment horizontal="center" vertical="top" wrapText="1"/>
    </xf>
    <xf numFmtId="16" fontId="6" fillId="5" borderId="20" xfId="0" quotePrefix="1" applyNumberFormat="1" applyFont="1" applyFill="1" applyBorder="1" applyAlignment="1">
      <alignment horizontal="center" vertical="top" wrapText="1"/>
    </xf>
    <xf numFmtId="0" fontId="6" fillId="6" borderId="20" xfId="0" quotePrefix="1" applyFont="1" applyFill="1" applyBorder="1" applyAlignment="1">
      <alignment horizontal="center" vertical="top" wrapText="1"/>
    </xf>
    <xf numFmtId="0" fontId="6" fillId="2" borderId="20" xfId="0" quotePrefix="1" applyFont="1" applyFill="1" applyBorder="1" applyAlignment="1">
      <alignment horizontal="center" vertical="top" wrapText="1"/>
    </xf>
    <xf numFmtId="0" fontId="6" fillId="9" borderId="21" xfId="0" quotePrefix="1" applyFont="1" applyFill="1" applyBorder="1" applyAlignment="1">
      <alignment horizontal="center" vertical="top" wrapText="1"/>
    </xf>
    <xf numFmtId="0" fontId="0" fillId="12" borderId="22" xfId="0" applyFill="1" applyBorder="1"/>
    <xf numFmtId="0" fontId="3" fillId="12" borderId="0" xfId="0" applyFont="1" applyFill="1"/>
    <xf numFmtId="0" fontId="27" fillId="12" borderId="0" xfId="0" applyFont="1" applyFill="1" applyAlignment="1">
      <alignment horizontal="center"/>
    </xf>
    <xf numFmtId="0" fontId="28" fillId="12" borderId="0" xfId="1" quotePrefix="1" applyFont="1" applyFill="1" applyProtection="1">
      <protection hidden="1"/>
    </xf>
    <xf numFmtId="0" fontId="24" fillId="12" borderId="0" xfId="0" applyFont="1" applyFill="1" applyProtection="1">
      <protection hidden="1"/>
    </xf>
    <xf numFmtId="0" fontId="4" fillId="12" borderId="0" xfId="0" applyFont="1" applyFill="1"/>
    <xf numFmtId="0" fontId="3" fillId="3" borderId="2" xfId="0" applyFont="1" applyFill="1" applyBorder="1" applyAlignment="1">
      <alignment horizontal="center"/>
    </xf>
    <xf numFmtId="0" fontId="1" fillId="12" borderId="4" xfId="0" applyFont="1" applyFill="1" applyBorder="1" applyAlignment="1" applyProtection="1">
      <alignment horizontal="center" vertical="center" wrapText="1"/>
      <protection hidden="1"/>
    </xf>
    <xf numFmtId="0" fontId="1" fillId="12" borderId="4" xfId="0" applyFont="1" applyFill="1" applyBorder="1" applyAlignment="1">
      <alignment horizontal="center"/>
    </xf>
    <xf numFmtId="0" fontId="1" fillId="12" borderId="4" xfId="0" applyFont="1" applyFill="1" applyBorder="1" applyProtection="1">
      <protection hidden="1"/>
    </xf>
    <xf numFmtId="0" fontId="1" fillId="12" borderId="4" xfId="0" applyFont="1" applyFill="1" applyBorder="1" applyAlignment="1" applyProtection="1">
      <alignment horizontal="center"/>
      <protection hidden="1"/>
    </xf>
    <xf numFmtId="0" fontId="28" fillId="12" borderId="4" xfId="1" applyFont="1" applyFill="1" applyBorder="1" applyProtection="1">
      <protection hidden="1"/>
    </xf>
    <xf numFmtId="0" fontId="24" fillId="12" borderId="4" xfId="0" applyFont="1" applyFill="1" applyBorder="1" applyProtection="1">
      <protection hidden="1"/>
    </xf>
    <xf numFmtId="0" fontId="1" fillId="12" borderId="4" xfId="0" applyFont="1" applyFill="1" applyBorder="1" applyAlignment="1" applyProtection="1">
      <alignment horizontal="center" vertical="center"/>
      <protection hidden="1"/>
    </xf>
    <xf numFmtId="0" fontId="3" fillId="8" borderId="23" xfId="0" applyFont="1" applyFill="1" applyBorder="1" applyAlignment="1">
      <alignment horizontal="center"/>
    </xf>
    <xf numFmtId="0" fontId="27" fillId="12" borderId="4" xfId="0" applyFont="1" applyFill="1" applyBorder="1" applyAlignment="1">
      <alignment horizontal="center"/>
    </xf>
    <xf numFmtId="0" fontId="3" fillId="3" borderId="4" xfId="0" applyFont="1" applyFill="1" applyBorder="1" applyAlignment="1">
      <alignment horizontal="center"/>
    </xf>
    <xf numFmtId="0" fontId="28" fillId="12" borderId="4" xfId="1" applyFont="1" applyFill="1" applyBorder="1" applyAlignment="1" applyProtection="1">
      <alignment vertical="center"/>
      <protection hidden="1"/>
    </xf>
    <xf numFmtId="0" fontId="1" fillId="12" borderId="4" xfId="0" applyFont="1" applyFill="1" applyBorder="1" applyAlignment="1" applyProtection="1">
      <alignment horizontal="left"/>
      <protection hidden="1"/>
    </xf>
    <xf numFmtId="0" fontId="3" fillId="12" borderId="0" xfId="0" applyFont="1" applyFill="1" applyAlignment="1">
      <alignment horizontal="center"/>
    </xf>
    <xf numFmtId="0" fontId="3" fillId="14" borderId="4" xfId="0" applyFont="1" applyFill="1" applyBorder="1" applyAlignment="1">
      <alignment horizontal="center"/>
    </xf>
    <xf numFmtId="0" fontId="33" fillId="12" borderId="4" xfId="1" applyFont="1" applyFill="1" applyBorder="1"/>
    <xf numFmtId="0" fontId="1" fillId="15" borderId="0" xfId="0" applyFont="1" applyFill="1" applyAlignment="1">
      <alignment horizontal="left"/>
    </xf>
    <xf numFmtId="0" fontId="33" fillId="12" borderId="3" xfId="1" applyFont="1" applyFill="1" applyBorder="1"/>
    <xf numFmtId="0" fontId="1" fillId="15" borderId="0" xfId="0" applyFont="1" applyFill="1"/>
    <xf numFmtId="0" fontId="24" fillId="15" borderId="0" xfId="0" applyFont="1" applyFill="1"/>
    <xf numFmtId="0" fontId="0" fillId="15" borderId="0" xfId="0" applyFill="1"/>
    <xf numFmtId="0" fontId="3" fillId="15" borderId="0" xfId="0" applyFont="1" applyFill="1"/>
    <xf numFmtId="0" fontId="33" fillId="12" borderId="4" xfId="1" applyFont="1" applyFill="1" applyBorder="1" applyProtection="1">
      <protection hidden="1"/>
    </xf>
    <xf numFmtId="0" fontId="1" fillId="13" borderId="4" xfId="0" applyFont="1" applyFill="1" applyBorder="1" applyAlignment="1" applyProtection="1">
      <alignment horizontal="center"/>
      <protection locked="0"/>
    </xf>
    <xf numFmtId="0" fontId="3" fillId="8" borderId="24" xfId="0" applyFont="1" applyFill="1" applyBorder="1" applyAlignment="1">
      <alignment horizontal="center"/>
    </xf>
    <xf numFmtId="0" fontId="1" fillId="14" borderId="4" xfId="0" applyFont="1" applyFill="1" applyBorder="1" applyAlignment="1">
      <alignment horizontal="center"/>
    </xf>
    <xf numFmtId="0" fontId="33" fillId="12" borderId="4" xfId="0" applyFont="1" applyFill="1" applyBorder="1"/>
    <xf numFmtId="0" fontId="1" fillId="12" borderId="4" xfId="0" applyFont="1" applyFill="1" applyBorder="1"/>
    <xf numFmtId="0" fontId="28" fillId="12" borderId="4" xfId="1" applyFont="1" applyFill="1" applyBorder="1"/>
    <xf numFmtId="0" fontId="1" fillId="12" borderId="4" xfId="0" applyFont="1" applyFill="1" applyBorder="1" applyAlignment="1">
      <alignment horizontal="left"/>
    </xf>
    <xf numFmtId="0" fontId="24" fillId="12" borderId="4" xfId="0" applyFont="1" applyFill="1" applyBorder="1" applyAlignment="1">
      <alignment vertical="center"/>
    </xf>
    <xf numFmtId="0" fontId="3" fillId="8" borderId="25" xfId="0" applyFont="1" applyFill="1" applyBorder="1" applyAlignment="1">
      <alignment horizontal="center"/>
    </xf>
    <xf numFmtId="0" fontId="24" fillId="12" borderId="4" xfId="1" applyFont="1" applyFill="1" applyBorder="1"/>
    <xf numFmtId="0" fontId="24" fillId="12" borderId="4" xfId="1" applyFont="1" applyFill="1" applyBorder="1" applyProtection="1">
      <protection hidden="1"/>
    </xf>
    <xf numFmtId="0" fontId="24" fillId="12" borderId="4" xfId="0" applyFont="1" applyFill="1" applyBorder="1" applyAlignment="1" applyProtection="1">
      <alignment vertical="center"/>
      <protection hidden="1"/>
    </xf>
    <xf numFmtId="0" fontId="24" fillId="12" borderId="0" xfId="0" quotePrefix="1" applyFont="1" applyFill="1" applyProtection="1">
      <protection hidden="1"/>
    </xf>
    <xf numFmtId="0" fontId="2" fillId="12" borderId="0" xfId="0" applyFont="1" applyFill="1"/>
    <xf numFmtId="0" fontId="33" fillId="12" borderId="3" xfId="1" applyFont="1" applyFill="1" applyBorder="1" applyProtection="1">
      <protection hidden="1"/>
    </xf>
    <xf numFmtId="0" fontId="1" fillId="12" borderId="6" xfId="0" applyFont="1" applyFill="1" applyBorder="1" applyAlignment="1" applyProtection="1">
      <alignment horizontal="center" vertical="center" wrapText="1"/>
      <protection hidden="1"/>
    </xf>
    <xf numFmtId="0" fontId="1" fillId="12" borderId="6" xfId="0" applyFont="1" applyFill="1" applyBorder="1" applyAlignment="1" applyProtection="1">
      <alignment horizontal="center"/>
      <protection hidden="1"/>
    </xf>
    <xf numFmtId="0" fontId="33" fillId="12" borderId="18" xfId="1" applyFont="1" applyFill="1" applyBorder="1"/>
    <xf numFmtId="0" fontId="33" fillId="12" borderId="5" xfId="1" applyFont="1" applyFill="1" applyBorder="1"/>
    <xf numFmtId="0" fontId="31" fillId="12" borderId="0" xfId="0" applyFont="1" applyFill="1" applyAlignment="1">
      <alignment horizontal="left"/>
    </xf>
    <xf numFmtId="0" fontId="35" fillId="12" borderId="0" xfId="0" applyFont="1" applyFill="1"/>
    <xf numFmtId="0" fontId="1" fillId="12" borderId="0" xfId="0" applyFont="1" applyFill="1"/>
    <xf numFmtId="0" fontId="36" fillId="12" borderId="4" xfId="1" applyFont="1" applyFill="1" applyBorder="1" applyProtection="1">
      <protection hidden="1"/>
    </xf>
    <xf numFmtId="0" fontId="36" fillId="12" borderId="4" xfId="0" applyFont="1" applyFill="1" applyBorder="1" applyProtection="1">
      <protection hidden="1"/>
    </xf>
    <xf numFmtId="0" fontId="3" fillId="8" borderId="28" xfId="0" applyFont="1" applyFill="1" applyBorder="1" applyAlignment="1">
      <alignment horizontal="center"/>
    </xf>
    <xf numFmtId="0" fontId="3" fillId="14" borderId="4" xfId="0" applyFont="1" applyFill="1" applyBorder="1" applyAlignment="1" applyProtection="1">
      <alignment horizontal="center"/>
      <protection hidden="1"/>
    </xf>
    <xf numFmtId="0" fontId="0" fillId="12" borderId="4" xfId="0" applyFill="1" applyBorder="1" applyProtection="1">
      <protection hidden="1"/>
    </xf>
    <xf numFmtId="0" fontId="28" fillId="12" borderId="4" xfId="1" applyFont="1" applyFill="1" applyBorder="1" applyAlignment="1" applyProtection="1">
      <alignment horizontal="left"/>
      <protection hidden="1"/>
    </xf>
    <xf numFmtId="0" fontId="1" fillId="14" borderId="4" xfId="0" applyFont="1" applyFill="1" applyBorder="1" applyAlignment="1" applyProtection="1">
      <alignment horizontal="center"/>
      <protection hidden="1"/>
    </xf>
    <xf numFmtId="0" fontId="36" fillId="12" borderId="4" xfId="0" applyFont="1" applyFill="1" applyBorder="1" applyAlignment="1" applyProtection="1">
      <alignment horizontal="center"/>
      <protection hidden="1"/>
    </xf>
    <xf numFmtId="0" fontId="33" fillId="12" borderId="29" xfId="1" applyFont="1" applyFill="1" applyBorder="1"/>
    <xf numFmtId="0" fontId="1" fillId="13" borderId="29" xfId="0" applyFont="1" applyFill="1" applyBorder="1" applyAlignment="1" applyProtection="1">
      <alignment horizontal="center"/>
      <protection locked="0"/>
    </xf>
    <xf numFmtId="0" fontId="33" fillId="12" borderId="7" xfId="1" applyFont="1" applyFill="1" applyBorder="1"/>
    <xf numFmtId="0" fontId="1" fillId="13" borderId="7" xfId="0" applyFont="1" applyFill="1" applyBorder="1" applyAlignment="1" applyProtection="1">
      <alignment horizontal="center"/>
      <protection locked="0"/>
    </xf>
    <xf numFmtId="0" fontId="33" fillId="12" borderId="30" xfId="1" applyFont="1" applyFill="1" applyBorder="1" applyProtection="1">
      <protection hidden="1"/>
    </xf>
    <xf numFmtId="0" fontId="1" fillId="13" borderId="30" xfId="0" applyFont="1" applyFill="1" applyBorder="1" applyAlignment="1" applyProtection="1">
      <alignment horizontal="center"/>
      <protection locked="0"/>
    </xf>
    <xf numFmtId="0" fontId="33" fillId="12" borderId="30" xfId="1" applyFont="1" applyFill="1" applyBorder="1"/>
    <xf numFmtId="0" fontId="33" fillId="12" borderId="31" xfId="1" applyFont="1" applyFill="1" applyBorder="1"/>
    <xf numFmtId="0" fontId="33" fillId="12" borderId="32" xfId="1" applyFont="1" applyFill="1" applyBorder="1" applyProtection="1">
      <protection hidden="1"/>
    </xf>
    <xf numFmtId="0" fontId="33" fillId="12" borderId="33" xfId="1" applyFont="1" applyFill="1" applyBorder="1"/>
    <xf numFmtId="0" fontId="28" fillId="12" borderId="0" xfId="0" applyFont="1" applyFill="1"/>
    <xf numFmtId="0" fontId="7" fillId="12" borderId="4" xfId="1" applyFill="1" applyBorder="1" applyProtection="1">
      <protection hidden="1"/>
    </xf>
    <xf numFmtId="0" fontId="33" fillId="12" borderId="32" xfId="1" applyFont="1" applyFill="1" applyBorder="1"/>
    <xf numFmtId="0" fontId="33" fillId="12" borderId="50" xfId="1" applyFont="1" applyFill="1" applyBorder="1"/>
    <xf numFmtId="0" fontId="33" fillId="12" borderId="51" xfId="1" applyFont="1" applyFill="1" applyBorder="1"/>
    <xf numFmtId="0" fontId="33" fillId="12" borderId="43" xfId="1" applyFont="1" applyFill="1" applyBorder="1" applyProtection="1">
      <protection hidden="1"/>
    </xf>
    <xf numFmtId="0" fontId="1" fillId="12" borderId="4" xfId="0" applyFont="1" applyFill="1" applyBorder="1" applyAlignment="1" applyProtection="1">
      <alignment horizontal="center" vertical="center"/>
      <protection locked="0"/>
    </xf>
    <xf numFmtId="0" fontId="1" fillId="12" borderId="14" xfId="0" applyFont="1" applyFill="1" applyBorder="1" applyAlignment="1" applyProtection="1">
      <alignment horizontal="center" vertical="center"/>
      <protection locked="0"/>
    </xf>
    <xf numFmtId="0" fontId="1" fillId="12" borderId="4" xfId="0" applyFont="1" applyFill="1" applyBorder="1" applyProtection="1">
      <protection locked="0"/>
    </xf>
    <xf numFmtId="0" fontId="1" fillId="12" borderId="14" xfId="0" applyFont="1" applyFill="1" applyBorder="1" applyProtection="1">
      <protection locked="0"/>
    </xf>
    <xf numFmtId="0" fontId="1" fillId="12" borderId="16" xfId="0" applyFont="1" applyFill="1" applyBorder="1" applyProtection="1">
      <protection locked="0"/>
    </xf>
    <xf numFmtId="0" fontId="1" fillId="12" borderId="17" xfId="0" applyFont="1" applyFill="1" applyBorder="1" applyProtection="1">
      <protection locked="0"/>
    </xf>
    <xf numFmtId="0" fontId="37" fillId="12" borderId="0" xfId="0" applyFont="1" applyFill="1" applyAlignment="1" applyProtection="1">
      <alignment vertical="center"/>
      <protection hidden="1"/>
    </xf>
    <xf numFmtId="0" fontId="0" fillId="12" borderId="0" xfId="0" applyFill="1" applyProtection="1">
      <protection hidden="1"/>
    </xf>
    <xf numFmtId="0" fontId="1" fillId="12" borderId="0" xfId="0" applyFont="1" applyFill="1" applyProtection="1">
      <protection hidden="1"/>
    </xf>
    <xf numFmtId="0" fontId="8" fillId="12" borderId="0" xfId="0" applyFont="1" applyFill="1" applyProtection="1">
      <protection hidden="1"/>
    </xf>
    <xf numFmtId="0" fontId="27" fillId="12" borderId="0" xfId="0" applyFont="1" applyFill="1" applyProtection="1">
      <protection hidden="1"/>
    </xf>
    <xf numFmtId="0" fontId="38" fillId="12" borderId="0" xfId="1" applyFont="1" applyFill="1" applyProtection="1">
      <protection hidden="1"/>
    </xf>
    <xf numFmtId="0" fontId="1" fillId="12" borderId="0" xfId="0" applyFont="1" applyFill="1" applyAlignment="1" applyProtection="1">
      <alignment horizontal="left" vertical="center" indent="1"/>
      <protection hidden="1"/>
    </xf>
    <xf numFmtId="0" fontId="1" fillId="12" borderId="0" xfId="0" quotePrefix="1" applyFont="1" applyFill="1" applyAlignment="1" applyProtection="1">
      <alignment horizontal="left" vertical="center" indent="1"/>
      <protection hidden="1"/>
    </xf>
    <xf numFmtId="0" fontId="41" fillId="12" borderId="0" xfId="1" applyFont="1" applyFill="1" applyAlignment="1">
      <alignment horizontal="center"/>
    </xf>
    <xf numFmtId="0" fontId="22" fillId="12" borderId="0" xfId="0" applyFont="1" applyFill="1" applyAlignment="1">
      <alignment horizontal="center" vertical="center"/>
    </xf>
    <xf numFmtId="0" fontId="1" fillId="12" borderId="36" xfId="0" applyFont="1" applyFill="1" applyBorder="1" applyAlignment="1" applyProtection="1">
      <alignment horizontal="center"/>
      <protection hidden="1"/>
    </xf>
    <xf numFmtId="0" fontId="1" fillId="12" borderId="37" xfId="0" applyFont="1" applyFill="1" applyBorder="1" applyAlignment="1" applyProtection="1">
      <alignment horizontal="center"/>
      <protection hidden="1"/>
    </xf>
    <xf numFmtId="0" fontId="1" fillId="12" borderId="38" xfId="0" applyFont="1" applyFill="1" applyBorder="1" applyAlignment="1" applyProtection="1">
      <alignment horizontal="center"/>
      <protection hidden="1"/>
    </xf>
    <xf numFmtId="0" fontId="1" fillId="12" borderId="39" xfId="0" applyFont="1" applyFill="1" applyBorder="1" applyAlignment="1" applyProtection="1">
      <alignment horizontal="center"/>
      <protection hidden="1"/>
    </xf>
    <xf numFmtId="0" fontId="1" fillId="12" borderId="40" xfId="0" applyFont="1" applyFill="1" applyBorder="1" applyAlignment="1" applyProtection="1">
      <alignment horizontal="center"/>
      <protection hidden="1"/>
    </xf>
    <xf numFmtId="0" fontId="1" fillId="12" borderId="41" xfId="0" applyFont="1" applyFill="1" applyBorder="1" applyAlignment="1" applyProtection="1">
      <alignment horizontal="center"/>
      <protection hidden="1"/>
    </xf>
    <xf numFmtId="0" fontId="1" fillId="12" borderId="44" xfId="0" applyFont="1" applyFill="1" applyBorder="1" applyAlignment="1" applyProtection="1">
      <alignment horizontal="center"/>
      <protection hidden="1"/>
    </xf>
    <xf numFmtId="0" fontId="1" fillId="12" borderId="45" xfId="0" applyFont="1" applyFill="1" applyBorder="1" applyAlignment="1" applyProtection="1">
      <alignment horizontal="center"/>
      <protection hidden="1"/>
    </xf>
    <xf numFmtId="0" fontId="1" fillId="12" borderId="46" xfId="0" applyFont="1" applyFill="1" applyBorder="1" applyAlignment="1" applyProtection="1">
      <alignment horizontal="center"/>
      <protection hidden="1"/>
    </xf>
    <xf numFmtId="0" fontId="3" fillId="14" borderId="7" xfId="0" applyFont="1" applyFill="1" applyBorder="1" applyAlignment="1" applyProtection="1">
      <alignment horizontal="center"/>
      <protection hidden="1"/>
    </xf>
    <xf numFmtId="0" fontId="1" fillId="12" borderId="30" xfId="0" applyFont="1" applyFill="1" applyBorder="1" applyAlignment="1" applyProtection="1">
      <alignment horizontal="center"/>
      <protection hidden="1"/>
    </xf>
    <xf numFmtId="0" fontId="1" fillId="12" borderId="47" xfId="0" applyFont="1" applyFill="1" applyBorder="1" applyAlignment="1" applyProtection="1">
      <alignment horizontal="center"/>
      <protection hidden="1"/>
    </xf>
    <xf numFmtId="0" fontId="1" fillId="12" borderId="48" xfId="0" applyFont="1" applyFill="1" applyBorder="1" applyAlignment="1" applyProtection="1">
      <alignment horizontal="center"/>
      <protection hidden="1"/>
    </xf>
    <xf numFmtId="0" fontId="1" fillId="12" borderId="49" xfId="0" applyFont="1" applyFill="1" applyBorder="1" applyAlignment="1" applyProtection="1">
      <alignment horizontal="center"/>
      <protection hidden="1"/>
    </xf>
    <xf numFmtId="0" fontId="1" fillId="12" borderId="7" xfId="0" applyFont="1" applyFill="1" applyBorder="1" applyAlignment="1" applyProtection="1">
      <alignment horizontal="center"/>
      <protection hidden="1"/>
    </xf>
    <xf numFmtId="0" fontId="27" fillId="12" borderId="30" xfId="1" applyFont="1" applyFill="1" applyBorder="1" applyAlignment="1" applyProtection="1">
      <alignment horizontal="left"/>
      <protection hidden="1"/>
    </xf>
    <xf numFmtId="0" fontId="1" fillId="12" borderId="43" xfId="0" applyFont="1" applyFill="1" applyBorder="1" applyAlignment="1" applyProtection="1">
      <alignment horizontal="center"/>
      <protection hidden="1"/>
    </xf>
    <xf numFmtId="0" fontId="27" fillId="12" borderId="4" xfId="1" applyFont="1" applyFill="1" applyBorder="1" applyAlignment="1" applyProtection="1">
      <alignment horizontal="left"/>
      <protection hidden="1"/>
    </xf>
    <xf numFmtId="0" fontId="36" fillId="12" borderId="4" xfId="0" applyFont="1" applyFill="1" applyBorder="1" applyAlignment="1" applyProtection="1">
      <alignment horizontal="left"/>
      <protection hidden="1"/>
    </xf>
    <xf numFmtId="0" fontId="36" fillId="12" borderId="30" xfId="0" applyFont="1" applyFill="1" applyBorder="1" applyAlignment="1" applyProtection="1">
      <alignment horizontal="left"/>
      <protection hidden="1"/>
    </xf>
    <xf numFmtId="0" fontId="42" fillId="12" borderId="0" xfId="0" applyFont="1" applyFill="1" applyAlignment="1">
      <alignment vertical="center"/>
    </xf>
    <xf numFmtId="0" fontId="24" fillId="12" borderId="3" xfId="0" applyFont="1" applyFill="1" applyBorder="1" applyAlignment="1">
      <alignment horizontal="center"/>
    </xf>
    <xf numFmtId="0" fontId="27" fillId="12" borderId="58" xfId="0" applyFont="1" applyFill="1" applyBorder="1" applyAlignment="1">
      <alignment horizontal="center"/>
    </xf>
    <xf numFmtId="0" fontId="3" fillId="12" borderId="61" xfId="0" applyFont="1" applyFill="1" applyBorder="1" applyAlignment="1">
      <alignment horizontal="center"/>
    </xf>
    <xf numFmtId="0" fontId="3" fillId="12" borderId="59" xfId="0" applyFont="1" applyFill="1" applyBorder="1" applyAlignment="1">
      <alignment horizontal="center"/>
    </xf>
    <xf numFmtId="0" fontId="3" fillId="12" borderId="60" xfId="0" applyFont="1" applyFill="1" applyBorder="1" applyAlignment="1">
      <alignment horizontal="center"/>
    </xf>
    <xf numFmtId="0" fontId="22" fillId="13" borderId="3" xfId="0" applyFont="1" applyFill="1" applyBorder="1" applyAlignment="1" applyProtection="1">
      <alignment horizontal="center" vertical="center"/>
      <protection locked="0"/>
    </xf>
    <xf numFmtId="0" fontId="24" fillId="12" borderId="0" xfId="0" applyFont="1" applyFill="1" applyAlignment="1">
      <alignment horizontal="left"/>
    </xf>
    <xf numFmtId="0" fontId="1" fillId="12" borderId="0" xfId="0" applyFont="1" applyFill="1" applyAlignment="1">
      <alignment horizontal="left"/>
    </xf>
    <xf numFmtId="0" fontId="30" fillId="12" borderId="0" xfId="0" applyFont="1" applyFill="1"/>
    <xf numFmtId="0" fontId="0" fillId="12" borderId="0" xfId="0" applyFill="1" applyAlignment="1">
      <alignment horizontal="left" vertical="center" indent="1"/>
    </xf>
    <xf numFmtId="0" fontId="24" fillId="12" borderId="0" xfId="0" applyFont="1" applyFill="1" applyAlignment="1">
      <alignment horizontal="left" vertical="center" indent="1"/>
    </xf>
    <xf numFmtId="0" fontId="43" fillId="12" borderId="0" xfId="0" applyFont="1" applyFill="1" applyAlignment="1">
      <alignment horizontal="center" vertical="top" wrapText="1"/>
    </xf>
    <xf numFmtId="0" fontId="3" fillId="0" borderId="0" xfId="0" applyFont="1" applyAlignment="1">
      <alignment horizontal="center"/>
    </xf>
    <xf numFmtId="0" fontId="0" fillId="0" borderId="0" xfId="0" applyAlignment="1">
      <alignment horizontal="center"/>
    </xf>
    <xf numFmtId="1" fontId="10" fillId="12" borderId="0" xfId="0" applyNumberFormat="1" applyFont="1" applyFill="1" applyAlignment="1">
      <alignment horizontal="center"/>
    </xf>
    <xf numFmtId="2" fontId="22" fillId="12" borderId="0" xfId="0" applyNumberFormat="1" applyFont="1" applyFill="1" applyAlignment="1">
      <alignment horizontal="center"/>
    </xf>
    <xf numFmtId="1" fontId="44" fillId="12" borderId="0" xfId="0" applyNumberFormat="1" applyFont="1" applyFill="1" applyAlignment="1">
      <alignment horizontal="center"/>
    </xf>
    <xf numFmtId="0" fontId="45" fillId="12" borderId="4" xfId="0" applyFont="1" applyFill="1" applyBorder="1"/>
    <xf numFmtId="0" fontId="10" fillId="12" borderId="0" xfId="0" quotePrefix="1" applyFont="1" applyFill="1" applyAlignment="1">
      <alignment vertical="center" wrapText="1"/>
    </xf>
    <xf numFmtId="2" fontId="22" fillId="13" borderId="3" xfId="0" applyNumberFormat="1" applyFont="1" applyFill="1" applyBorder="1" applyAlignment="1" applyProtection="1">
      <alignment horizontal="center" vertical="center"/>
      <protection hidden="1"/>
    </xf>
    <xf numFmtId="0" fontId="1" fillId="12" borderId="0" xfId="0" applyFont="1" applyFill="1" applyAlignment="1">
      <alignment horizontal="center"/>
    </xf>
    <xf numFmtId="0" fontId="32" fillId="12" borderId="0" xfId="0" applyFont="1" applyFill="1" applyAlignment="1">
      <alignment horizontal="center" vertical="center"/>
    </xf>
    <xf numFmtId="0" fontId="26" fillId="12" borderId="10" xfId="0" applyFont="1" applyFill="1" applyBorder="1" applyAlignment="1">
      <alignment horizontal="center"/>
    </xf>
    <xf numFmtId="0" fontId="26" fillId="12" borderId="7" xfId="0" applyFont="1" applyFill="1" applyBorder="1" applyAlignment="1">
      <alignment horizontal="center"/>
    </xf>
    <xf numFmtId="0" fontId="26" fillId="12" borderId="11" xfId="0" applyFont="1" applyFill="1" applyBorder="1" applyAlignment="1">
      <alignment horizontal="center"/>
    </xf>
    <xf numFmtId="0" fontId="26" fillId="12" borderId="13" xfId="0" applyFont="1" applyFill="1" applyBorder="1" applyAlignment="1">
      <alignment horizontal="center"/>
    </xf>
    <xf numFmtId="0" fontId="26" fillId="12" borderId="8" xfId="0" applyFont="1" applyFill="1" applyBorder="1" applyAlignment="1">
      <alignment horizontal="center" vertical="center"/>
    </xf>
    <xf numFmtId="0" fontId="26" fillId="12" borderId="12" xfId="0" applyFont="1" applyFill="1" applyBorder="1" applyAlignment="1">
      <alignment horizontal="center" vertical="center"/>
    </xf>
    <xf numFmtId="0" fontId="26" fillId="12" borderId="9" xfId="0" applyFont="1" applyFill="1" applyBorder="1" applyAlignment="1">
      <alignment horizontal="center" vertical="center"/>
    </xf>
    <xf numFmtId="0" fontId="26" fillId="12" borderId="4" xfId="0" applyFont="1" applyFill="1" applyBorder="1" applyAlignment="1">
      <alignment horizontal="center" vertical="center"/>
    </xf>
    <xf numFmtId="0" fontId="34" fillId="12" borderId="0" xfId="0" applyFont="1" applyFill="1" applyAlignment="1">
      <alignment horizontal="center"/>
    </xf>
    <xf numFmtId="0" fontId="7" fillId="12" borderId="0" xfId="1" applyFill="1" applyAlignment="1" applyProtection="1">
      <alignment horizontal="center"/>
      <protection locked="0"/>
    </xf>
    <xf numFmtId="0" fontId="24" fillId="12" borderId="3" xfId="0" applyFont="1" applyFill="1" applyBorder="1" applyAlignment="1">
      <alignment horizontal="left"/>
    </xf>
    <xf numFmtId="0" fontId="27" fillId="12" borderId="58" xfId="0" applyFont="1" applyFill="1" applyBorder="1" applyAlignment="1">
      <alignment horizontal="center"/>
    </xf>
    <xf numFmtId="0" fontId="24" fillId="12" borderId="0" xfId="0" applyFont="1" applyFill="1" applyAlignment="1" applyProtection="1">
      <alignment horizontal="center" vertical="center" wrapText="1"/>
      <protection hidden="1"/>
    </xf>
    <xf numFmtId="0" fontId="24" fillId="12" borderId="0" xfId="0" applyFont="1" applyFill="1" applyAlignment="1" applyProtection="1">
      <alignment horizontal="center" vertical="top" wrapText="1"/>
      <protection hidden="1"/>
    </xf>
    <xf numFmtId="0" fontId="1" fillId="12" borderId="0" xfId="0" applyFont="1" applyFill="1" applyAlignment="1" applyProtection="1">
      <alignment horizontal="center"/>
      <protection hidden="1"/>
    </xf>
    <xf numFmtId="0" fontId="30" fillId="12" borderId="0" xfId="0" applyFont="1" applyFill="1" applyAlignment="1" applyProtection="1">
      <alignment horizontal="center"/>
      <protection hidden="1"/>
    </xf>
    <xf numFmtId="0" fontId="39" fillId="12" borderId="52" xfId="1" applyFont="1" applyFill="1" applyBorder="1" applyAlignment="1">
      <alignment horizontal="center"/>
    </xf>
    <xf numFmtId="0" fontId="39" fillId="12" borderId="53" xfId="1" applyFont="1" applyFill="1" applyBorder="1" applyAlignment="1">
      <alignment horizontal="center"/>
    </xf>
    <xf numFmtId="0" fontId="31" fillId="12" borderId="0" xfId="0" applyFont="1" applyFill="1" applyAlignment="1">
      <alignment horizontal="left"/>
    </xf>
    <xf numFmtId="0" fontId="1" fillId="15" borderId="0" xfId="0" applyFont="1" applyFill="1" applyAlignment="1">
      <alignment horizontal="left"/>
    </xf>
    <xf numFmtId="0" fontId="1" fillId="15" borderId="0" xfId="0" applyFont="1" applyFill="1" applyAlignment="1">
      <alignment horizontal="center"/>
    </xf>
    <xf numFmtId="0" fontId="3" fillId="11" borderId="0" xfId="0" applyFont="1" applyFill="1" applyAlignment="1">
      <alignment horizontal="center"/>
    </xf>
    <xf numFmtId="0" fontId="3" fillId="10" borderId="1" xfId="0" applyFont="1" applyFill="1" applyBorder="1" applyAlignment="1">
      <alignment horizontal="center"/>
    </xf>
    <xf numFmtId="0" fontId="3" fillId="10" borderId="0" xfId="0" applyFont="1" applyFill="1" applyAlignment="1">
      <alignment horizontal="center"/>
    </xf>
    <xf numFmtId="0" fontId="39" fillId="12" borderId="56" xfId="1" applyFont="1" applyFill="1" applyBorder="1" applyAlignment="1">
      <alignment horizontal="center"/>
    </xf>
    <xf numFmtId="0" fontId="39" fillId="12" borderId="57" xfId="1" applyFont="1" applyFill="1" applyBorder="1" applyAlignment="1">
      <alignment horizontal="center"/>
    </xf>
    <xf numFmtId="0" fontId="1" fillId="12" borderId="4" xfId="0" applyFont="1" applyFill="1" applyBorder="1" applyAlignment="1">
      <alignment horizontal="center"/>
    </xf>
    <xf numFmtId="0" fontId="39" fillId="12" borderId="54" xfId="1" applyFont="1" applyFill="1" applyBorder="1" applyAlignment="1">
      <alignment horizontal="center"/>
    </xf>
    <xf numFmtId="0" fontId="39" fillId="12" borderId="55" xfId="1" applyFont="1" applyFill="1" applyBorder="1" applyAlignment="1">
      <alignment horizontal="center"/>
    </xf>
    <xf numFmtId="0" fontId="3" fillId="10" borderId="26" xfId="0" applyFont="1" applyFill="1" applyBorder="1" applyAlignment="1">
      <alignment horizontal="center"/>
    </xf>
    <xf numFmtId="0" fontId="3" fillId="10" borderId="27" xfId="0" applyFont="1" applyFill="1" applyBorder="1" applyAlignment="1">
      <alignment horizontal="center"/>
    </xf>
    <xf numFmtId="0" fontId="1" fillId="12" borderId="3" xfId="0" applyFont="1" applyFill="1" applyBorder="1" applyAlignment="1">
      <alignment horizontal="center"/>
    </xf>
    <xf numFmtId="0" fontId="1" fillId="12" borderId="42" xfId="0" applyFont="1" applyFill="1" applyBorder="1" applyAlignment="1" applyProtection="1">
      <alignment horizontal="center" vertical="center"/>
      <protection hidden="1"/>
    </xf>
    <xf numFmtId="0" fontId="1" fillId="12" borderId="7" xfId="0" applyFont="1" applyFill="1" applyBorder="1" applyAlignment="1" applyProtection="1">
      <alignment horizontal="center" vertical="center"/>
      <protection hidden="1"/>
    </xf>
    <xf numFmtId="0" fontId="40" fillId="12" borderId="52" xfId="1" applyFont="1" applyFill="1" applyBorder="1" applyAlignment="1">
      <alignment horizontal="center"/>
    </xf>
    <xf numFmtId="0" fontId="40" fillId="12" borderId="53" xfId="1" applyFont="1" applyFill="1" applyBorder="1" applyAlignment="1">
      <alignment horizontal="center"/>
    </xf>
    <xf numFmtId="0" fontId="1" fillId="12" borderId="34" xfId="0" applyFont="1" applyFill="1" applyBorder="1" applyAlignment="1" applyProtection="1">
      <alignment horizontal="center" vertical="center"/>
      <protection hidden="1"/>
    </xf>
    <xf numFmtId="0" fontId="1" fillId="12" borderId="35" xfId="0" applyFont="1" applyFill="1" applyBorder="1" applyAlignment="1" applyProtection="1">
      <alignment horizontal="center" vertical="center"/>
      <protection hidden="1"/>
    </xf>
    <xf numFmtId="0" fontId="40" fillId="12" borderId="56" xfId="1" applyFont="1" applyFill="1" applyBorder="1" applyAlignment="1">
      <alignment horizontal="center"/>
    </xf>
    <xf numFmtId="0" fontId="40" fillId="12" borderId="57" xfId="1" applyFont="1" applyFill="1" applyBorder="1" applyAlignment="1">
      <alignment horizontal="center"/>
    </xf>
    <xf numFmtId="0" fontId="1" fillId="12" borderId="34" xfId="0" applyFont="1" applyFill="1" applyBorder="1" applyAlignment="1">
      <alignment horizontal="center" vertical="center"/>
    </xf>
    <xf numFmtId="0" fontId="1" fillId="12" borderId="35" xfId="0" applyFont="1" applyFill="1" applyBorder="1" applyAlignment="1">
      <alignment horizontal="center" vertical="center"/>
    </xf>
    <xf numFmtId="0" fontId="1" fillId="12" borderId="42" xfId="0" applyFont="1" applyFill="1" applyBorder="1" applyAlignment="1">
      <alignment horizontal="center" vertical="center"/>
    </xf>
    <xf numFmtId="0" fontId="1" fillId="12" borderId="7" xfId="0" applyFont="1" applyFill="1" applyBorder="1" applyAlignment="1">
      <alignment horizontal="center" vertical="center"/>
    </xf>
    <xf numFmtId="0" fontId="27" fillId="12" borderId="0" xfId="0" applyFont="1" applyFill="1" applyAlignment="1">
      <alignment horizontal="left"/>
    </xf>
    <xf numFmtId="0" fontId="24" fillId="12" borderId="0" xfId="0" applyFont="1" applyFill="1" applyAlignment="1">
      <alignment horizontal="left"/>
    </xf>
    <xf numFmtId="0" fontId="1" fillId="12" borderId="62" xfId="0" applyFont="1" applyFill="1" applyBorder="1" applyAlignment="1">
      <alignment horizontal="center"/>
    </xf>
    <xf numFmtId="0" fontId="1" fillId="12" borderId="63" xfId="0" applyFont="1" applyFill="1" applyBorder="1" applyAlignment="1">
      <alignment horizontal="center"/>
    </xf>
    <xf numFmtId="0" fontId="3" fillId="12" borderId="0" xfId="0" applyFont="1" applyFill="1" applyBorder="1" applyAlignment="1">
      <alignment horizontal="center"/>
    </xf>
    <xf numFmtId="0" fontId="1" fillId="15" borderId="0" xfId="0" applyFont="1" applyFill="1" applyAlignment="1"/>
    <xf numFmtId="0" fontId="33" fillId="12" borderId="64" xfId="1" applyFont="1" applyFill="1" applyBorder="1"/>
    <xf numFmtId="0" fontId="1" fillId="13" borderId="64" xfId="0" applyFont="1" applyFill="1" applyBorder="1" applyAlignment="1" applyProtection="1">
      <alignment horizontal="center"/>
      <protection locked="0"/>
    </xf>
    <xf numFmtId="0" fontId="33" fillId="12" borderId="65" xfId="1" applyFont="1" applyFill="1" applyBorder="1"/>
    <xf numFmtId="0" fontId="1" fillId="13" borderId="65" xfId="0" applyFont="1" applyFill="1" applyBorder="1" applyAlignment="1" applyProtection="1">
      <alignment horizontal="center"/>
      <protection locked="0"/>
    </xf>
    <xf numFmtId="0" fontId="33" fillId="12" borderId="66" xfId="1" applyFont="1" applyFill="1" applyBorder="1"/>
    <xf numFmtId="0" fontId="1" fillId="13" borderId="66" xfId="0" applyFont="1" applyFill="1" applyBorder="1" applyAlignment="1" applyProtection="1">
      <alignment horizontal="center"/>
      <protection locked="0"/>
    </xf>
    <xf numFmtId="0" fontId="33" fillId="12" borderId="65" xfId="1" applyFont="1" applyFill="1" applyBorder="1" applyProtection="1">
      <protection hidden="1"/>
    </xf>
    <xf numFmtId="0" fontId="33" fillId="12" borderId="66" xfId="1" applyFont="1" applyFill="1" applyBorder="1" applyProtection="1">
      <protection hidden="1"/>
    </xf>
    <xf numFmtId="0" fontId="33" fillId="12" borderId="67" xfId="1" applyFont="1" applyFill="1" applyBorder="1" applyProtection="1">
      <protection hidden="1"/>
    </xf>
    <xf numFmtId="0" fontId="33" fillId="12" borderId="68" xfId="1" applyFont="1" applyFill="1" applyBorder="1" applyProtection="1">
      <protection hidden="1"/>
    </xf>
    <xf numFmtId="0" fontId="33" fillId="12" borderId="69" xfId="1" applyFont="1" applyFill="1" applyBorder="1" applyProtection="1">
      <protection hidden="1"/>
    </xf>
    <xf numFmtId="0" fontId="33" fillId="12" borderId="69" xfId="1" applyFont="1" applyFill="1" applyBorder="1"/>
    <xf numFmtId="0" fontId="1" fillId="13" borderId="70" xfId="0" applyFont="1" applyFill="1" applyBorder="1" applyAlignment="1" applyProtection="1">
      <alignment horizontal="center"/>
      <protection locked="0"/>
    </xf>
    <xf numFmtId="0" fontId="1" fillId="13" borderId="6" xfId="0" applyFont="1" applyFill="1" applyBorder="1" applyAlignment="1" applyProtection="1">
      <alignment horizontal="center"/>
      <protection locked="0"/>
    </xf>
    <xf numFmtId="0" fontId="1" fillId="13" borderId="71" xfId="0" applyFont="1" applyFill="1" applyBorder="1" applyAlignment="1" applyProtection="1">
      <alignment horizontal="center"/>
      <protection locked="0"/>
    </xf>
    <xf numFmtId="0" fontId="1" fillId="13" borderId="72" xfId="0" applyFont="1" applyFill="1" applyBorder="1" applyAlignment="1" applyProtection="1">
      <alignment horizontal="center"/>
      <protection locked="0"/>
    </xf>
    <xf numFmtId="0" fontId="33" fillId="12" borderId="14" xfId="1" applyFont="1" applyFill="1" applyBorder="1"/>
    <xf numFmtId="0" fontId="1" fillId="13" borderId="73" xfId="0" applyFont="1" applyFill="1" applyBorder="1" applyAlignment="1" applyProtection="1">
      <alignment horizontal="center"/>
      <protection locked="0"/>
    </xf>
    <xf numFmtId="0" fontId="33" fillId="12" borderId="74" xfId="1" applyFont="1" applyFill="1" applyBorder="1"/>
    <xf numFmtId="0" fontId="1" fillId="13" borderId="75" xfId="0" applyFont="1" applyFill="1" applyBorder="1" applyAlignment="1" applyProtection="1">
      <alignment horizontal="center"/>
      <protection locked="0"/>
    </xf>
    <xf numFmtId="0" fontId="1" fillId="12" borderId="0" xfId="0" applyFont="1" applyFill="1" applyAlignment="1"/>
    <xf numFmtId="0" fontId="33" fillId="12" borderId="0" xfId="1" applyFont="1" applyFill="1" applyBorder="1"/>
    <xf numFmtId="0" fontId="1" fillId="12" borderId="0" xfId="0" applyFont="1" applyFill="1" applyBorder="1" applyAlignment="1" applyProtection="1">
      <alignment horizontal="center"/>
      <protection locked="0"/>
    </xf>
    <xf numFmtId="0" fontId="1" fillId="16" borderId="4" xfId="0" applyFont="1" applyFill="1" applyBorder="1" applyAlignment="1" applyProtection="1">
      <alignment horizontal="center"/>
      <protection hidden="1"/>
    </xf>
    <xf numFmtId="0" fontId="1" fillId="12" borderId="0" xfId="0" applyFont="1" applyFill="1" applyBorder="1" applyAlignment="1">
      <alignment horizontal="center"/>
    </xf>
    <xf numFmtId="0" fontId="1" fillId="12" borderId="0" xfId="0" applyFont="1" applyFill="1" applyBorder="1" applyAlignment="1" applyProtection="1">
      <alignment horizontal="center"/>
      <protection hidden="1"/>
    </xf>
    <xf numFmtId="0" fontId="33" fillId="12" borderId="76" xfId="1" applyFont="1" applyFill="1" applyBorder="1"/>
  </cellXfs>
  <cellStyles count="2">
    <cellStyle name="Lien hypertexte" xfId="1" builtinId="8"/>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10/relationships/person" Target="persons/person5.xml"/><Relationship Id="rId26" Type="http://schemas.microsoft.com/office/2017/10/relationships/person" Target="persons/person9.xml"/><Relationship Id="rId3" Type="http://schemas.openxmlformats.org/officeDocument/2006/relationships/worksheet" Target="worksheets/sheet3.xml"/><Relationship Id="rId21" Type="http://schemas.microsoft.com/office/2017/10/relationships/person" Target="persons/person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8.xml"/><Relationship Id="rId25" Type="http://schemas.microsoft.com/office/2017/10/relationships/person" Target="persons/person1.xml"/><Relationship Id="rId2" Type="http://schemas.openxmlformats.org/officeDocument/2006/relationships/worksheet" Target="worksheets/sheet2.xml"/><Relationship Id="rId20" Type="http://schemas.microsoft.com/office/2017/10/relationships/person" Target="persons/person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0.xml"/><Relationship Id="rId5" Type="http://schemas.openxmlformats.org/officeDocument/2006/relationships/worksheet" Target="worksheets/sheet5.xml"/><Relationship Id="rId15" Type="http://schemas.openxmlformats.org/officeDocument/2006/relationships/calcChain" Target="calcChain.xml"/><Relationship Id="rId23" Type="http://schemas.microsoft.com/office/2017/10/relationships/person" Target="persons/person2.xml"/><Relationship Id="rId10" Type="http://schemas.openxmlformats.org/officeDocument/2006/relationships/worksheet" Target="worksheets/sheet10.xml"/><Relationship Id="rId19" Type="http://schemas.microsoft.com/office/2017/10/relationships/person" Target="persons/person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7" Type="http://schemas.microsoft.com/office/2017/10/relationships/person" Target="persons/person.xml"/><Relationship Id="rId22" Type="http://schemas.microsoft.com/office/2017/10/relationships/person" Target="persons/person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ethode-jvc.webador.be/acte-1-pdc-l-eveil-du-heros"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666750</xdr:colOff>
      <xdr:row>25</xdr:row>
      <xdr:rowOff>171450</xdr:rowOff>
    </xdr:from>
    <xdr:to>
      <xdr:col>9</xdr:col>
      <xdr:colOff>76200</xdr:colOff>
      <xdr:row>46</xdr:row>
      <xdr:rowOff>152400</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387697B7-A45A-4CDC-AD8C-0449739357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0" y="5038725"/>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733425</xdr:colOff>
      <xdr:row>124</xdr:row>
      <xdr:rowOff>123825</xdr:rowOff>
    </xdr:from>
    <xdr:to>
      <xdr:col>4</xdr:col>
      <xdr:colOff>1809750</xdr:colOff>
      <xdr:row>145</xdr:row>
      <xdr:rowOff>104775</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E3A01DCB-40AA-40DB-9F82-BB836CE324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62600" y="23955375"/>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134</xdr:row>
      <xdr:rowOff>0</xdr:rowOff>
    </xdr:from>
    <xdr:to>
      <xdr:col>4</xdr:col>
      <xdr:colOff>1838325</xdr:colOff>
      <xdr:row>154</xdr:row>
      <xdr:rowOff>171450</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F7D5686C-171B-4E5C-8E33-557F1ABB41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43600" y="25688925"/>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676275</xdr:colOff>
      <xdr:row>9</xdr:row>
      <xdr:rowOff>171450</xdr:rowOff>
    </xdr:from>
    <xdr:to>
      <xdr:col>17</xdr:col>
      <xdr:colOff>704850</xdr:colOff>
      <xdr:row>21</xdr:row>
      <xdr:rowOff>152400</xdr:rowOff>
    </xdr:to>
    <xdr:pic>
      <xdr:nvPicPr>
        <xdr:cNvPr id="9" name="Image 8"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5A6A35E0-7E7F-4130-96E5-83EDD245E0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25125" y="2295525"/>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466725</xdr:colOff>
      <xdr:row>2</xdr:row>
      <xdr:rowOff>133350</xdr:rowOff>
    </xdr:from>
    <xdr:to>
      <xdr:col>10</xdr:col>
      <xdr:colOff>638175</xdr:colOff>
      <xdr:row>273</xdr:row>
      <xdr:rowOff>47625</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FE4E46C7-0BF7-4A89-B0D6-0238AC9191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62700" y="647700"/>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15</xdr:row>
      <xdr:rowOff>57150</xdr:rowOff>
    </xdr:from>
    <xdr:to>
      <xdr:col>5</xdr:col>
      <xdr:colOff>600075</xdr:colOff>
      <xdr:row>36</xdr:row>
      <xdr:rowOff>0</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270BADD8-9F7B-495F-9ED6-6CD2FA60B1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4625" y="4610100"/>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1257300</xdr:colOff>
      <xdr:row>64</xdr:row>
      <xdr:rowOff>180975</xdr:rowOff>
    </xdr:from>
    <xdr:to>
      <xdr:col>6</xdr:col>
      <xdr:colOff>114300</xdr:colOff>
      <xdr:row>85</xdr:row>
      <xdr:rowOff>161925</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5F79E6E2-A2E6-4F92-9B5A-DC764C3FE4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2706350"/>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1038225</xdr:colOff>
      <xdr:row>135</xdr:row>
      <xdr:rowOff>142875</xdr:rowOff>
    </xdr:from>
    <xdr:to>
      <xdr:col>5</xdr:col>
      <xdr:colOff>733425</xdr:colOff>
      <xdr:row>156</xdr:row>
      <xdr:rowOff>123825</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C2EBA80E-0120-4185-B134-429BE881ED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00725" y="25679400"/>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752475</xdr:colOff>
      <xdr:row>206</xdr:row>
      <xdr:rowOff>57150</xdr:rowOff>
    </xdr:from>
    <xdr:to>
      <xdr:col>5</xdr:col>
      <xdr:colOff>523875</xdr:colOff>
      <xdr:row>227</xdr:row>
      <xdr:rowOff>38100</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29C6F5AB-1958-4B84-A5E6-E72271F787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9757350"/>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1400175</xdr:colOff>
      <xdr:row>135</xdr:row>
      <xdr:rowOff>95250</xdr:rowOff>
    </xdr:from>
    <xdr:to>
      <xdr:col>6</xdr:col>
      <xdr:colOff>342900</xdr:colOff>
      <xdr:row>156</xdr:row>
      <xdr:rowOff>76200</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63F0CA12-3A08-432A-B22D-00A085D7DE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0" y="26403300"/>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127</xdr:row>
      <xdr:rowOff>95250</xdr:rowOff>
    </xdr:from>
    <xdr:to>
      <xdr:col>4</xdr:col>
      <xdr:colOff>1476375</xdr:colOff>
      <xdr:row>148</xdr:row>
      <xdr:rowOff>76200</xdr:rowOff>
    </xdr:to>
    <xdr:pic>
      <xdr:nvPicPr>
        <xdr:cNvPr id="2" name="Image 1" descr="https://primary.jwwb.nl/public/p/h/c/temp-vyfqxshyipubpdlgugrt/p1l6gz/image.png?enable-io=true&amp;enable=upscale&amp;crop=617%2C617%2Cx0%2Cy0%2Csafe&amp;width=418&amp;height=418">
          <a:hlinkClick xmlns:r="http://schemas.openxmlformats.org/officeDocument/2006/relationships" r:id="rId1"/>
          <a:extLst>
            <a:ext uri="{FF2B5EF4-FFF2-40B4-BE49-F238E27FC236}">
              <a16:creationId xmlns:a16="http://schemas.microsoft.com/office/drawing/2014/main" id="{D17AA13C-8B1D-4D8E-84D7-3182204C61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72225" y="24431625"/>
          <a:ext cx="3981450" cy="3981450"/>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ethode-jvc.webador.be/acte-1-pdc-l-eveil-du-heros"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youtube.com/shorts/qPXgrgUrIsg" TargetMode="External"/><Relationship Id="rId21" Type="http://schemas.openxmlformats.org/officeDocument/2006/relationships/hyperlink" Target="https://youtu.be/cmple9fw65w?si=U2DZCxFQHzfsk4O2&amp;t=9" TargetMode="External"/><Relationship Id="rId42" Type="http://schemas.openxmlformats.org/officeDocument/2006/relationships/hyperlink" Target="https://youtu.be/IjDmaCdUH0g?si=4bUDoax4RMNSfoMG" TargetMode="External"/><Relationship Id="rId47" Type="http://schemas.openxmlformats.org/officeDocument/2006/relationships/hyperlink" Target="https://youtu.be/cmple9fw65w?si=U2DZCxFQHzfsk4O2&amp;t=9" TargetMode="External"/><Relationship Id="rId63" Type="http://schemas.openxmlformats.org/officeDocument/2006/relationships/hyperlink" Target="https://youtu.be/P8s_LRBp9lo?si=QBLEW04PU1y7BT-J" TargetMode="External"/><Relationship Id="rId68" Type="http://schemas.openxmlformats.org/officeDocument/2006/relationships/hyperlink" Target="https://youtu.be/IjDmaCdUH0g?si=4bUDoax4RMNSfoMG" TargetMode="External"/><Relationship Id="rId84" Type="http://schemas.openxmlformats.org/officeDocument/2006/relationships/hyperlink" Target="https://www.youtube.com/shorts/mPg5_2oCrZE" TargetMode="External"/><Relationship Id="rId89" Type="http://schemas.openxmlformats.org/officeDocument/2006/relationships/hyperlink" Target="https://www.youtube.com/watch?v=bHO0A4ZF_Zg" TargetMode="External"/><Relationship Id="rId16" Type="http://schemas.openxmlformats.org/officeDocument/2006/relationships/hyperlink" Target="https://youtu.be/IjDmaCdUH0g?si=4bUDoax4RMNSfoMG" TargetMode="External"/><Relationship Id="rId11" Type="http://schemas.openxmlformats.org/officeDocument/2006/relationships/hyperlink" Target="https://www.youtube.com/watch?v=k3KHgLvo4uI&amp;t=6s" TargetMode="External"/><Relationship Id="rId32" Type="http://schemas.openxmlformats.org/officeDocument/2006/relationships/hyperlink" Target="https://www.youtube.com/shorts/mPg5_2oCrZE" TargetMode="External"/><Relationship Id="rId37" Type="http://schemas.openxmlformats.org/officeDocument/2006/relationships/hyperlink" Target="https://youtu.be/P8s_LRBp9lo?si=QBLEW04PU1y7BT-J" TargetMode="External"/><Relationship Id="rId53" Type="http://schemas.openxmlformats.org/officeDocument/2006/relationships/hyperlink" Target="https://www.youtube.com/watch?v=B5WBpQ6jrlw" TargetMode="External"/><Relationship Id="rId58" Type="http://schemas.openxmlformats.org/officeDocument/2006/relationships/hyperlink" Target="https://www.youtube.com/shorts/mPg5_2oCrZE" TargetMode="External"/><Relationship Id="rId74" Type="http://schemas.openxmlformats.org/officeDocument/2006/relationships/hyperlink" Target="https://youtu.be/IjDmaCdUH0g?si=4bUDoax4RMNSfoMG" TargetMode="External"/><Relationship Id="rId79" Type="http://schemas.openxmlformats.org/officeDocument/2006/relationships/hyperlink" Target="https://www.youtube.com/watch?v=B5WBpQ6jrlw" TargetMode="External"/><Relationship Id="rId5" Type="http://schemas.openxmlformats.org/officeDocument/2006/relationships/hyperlink" Target="https://www.youtube.com/watch?v=5QFjmotLfW4" TargetMode="External"/><Relationship Id="rId90" Type="http://schemas.openxmlformats.org/officeDocument/2006/relationships/hyperlink" Target="https://www.youtube.com/shorts/Oi3bW9nQmGI" TargetMode="External"/><Relationship Id="rId14" Type="http://schemas.openxmlformats.org/officeDocument/2006/relationships/hyperlink" Target="https://www.youtube.com/shorts/6XNm_X-B-tE" TargetMode="External"/><Relationship Id="rId22" Type="http://schemas.openxmlformats.org/officeDocument/2006/relationships/hyperlink" Target="https://youtu.be/IjDmaCdUH0g?si=4bUDoax4RMNSfoMG" TargetMode="External"/><Relationship Id="rId27" Type="http://schemas.openxmlformats.org/officeDocument/2006/relationships/hyperlink" Target="https://www.youtube.com/watch?v=B5WBpQ6jrlw" TargetMode="External"/><Relationship Id="rId30" Type="http://schemas.openxmlformats.org/officeDocument/2006/relationships/hyperlink" Target="https://www.youtube.com/shorts/ZP72SmuKOuE" TargetMode="External"/><Relationship Id="rId35" Type="http://schemas.openxmlformats.org/officeDocument/2006/relationships/hyperlink" Target="https://youtu.be/cmple9fw65w?si=U2DZCxFQHzfsk4O2&amp;t=9" TargetMode="External"/><Relationship Id="rId43" Type="http://schemas.openxmlformats.org/officeDocument/2006/relationships/hyperlink" Target="https://youtu.be/P8s_LRBp9lo?si=QBLEW04PU1y7BT-J" TargetMode="External"/><Relationship Id="rId48" Type="http://schemas.openxmlformats.org/officeDocument/2006/relationships/hyperlink" Target="https://youtu.be/IjDmaCdUH0g?si=4bUDoax4RMNSfoMG" TargetMode="External"/><Relationship Id="rId56" Type="http://schemas.openxmlformats.org/officeDocument/2006/relationships/hyperlink" Target="https://www.youtube.com/shorts/ZP72SmuKOuE" TargetMode="External"/><Relationship Id="rId64" Type="http://schemas.openxmlformats.org/officeDocument/2006/relationships/hyperlink" Target="https://www.youtube.com/watch?v=bHO0A4ZF_Zg" TargetMode="External"/><Relationship Id="rId69" Type="http://schemas.openxmlformats.org/officeDocument/2006/relationships/hyperlink" Target="https://youtu.be/P8s_LRBp9lo?si=QBLEW04PU1y7BT-J" TargetMode="External"/><Relationship Id="rId77" Type="http://schemas.openxmlformats.org/officeDocument/2006/relationships/hyperlink" Target="https://www.youtube.com/watch?v=5QFjmotLfW4" TargetMode="External"/><Relationship Id="rId8" Type="http://schemas.openxmlformats.org/officeDocument/2006/relationships/hyperlink" Target="https://www.youtube.com/shorts/qPXgrgUrIsg" TargetMode="External"/><Relationship Id="rId51" Type="http://schemas.openxmlformats.org/officeDocument/2006/relationships/hyperlink" Target="https://www.youtube.com/watch?v=5QFjmotLfW4" TargetMode="External"/><Relationship Id="rId72" Type="http://schemas.openxmlformats.org/officeDocument/2006/relationships/hyperlink" Target="https://hips.hearstapps.com/hmg-prod/images/workouts/2016/08/supermanw-1472154493.gif?crop=1xw:1xh;center,top&amp;resize=640:*" TargetMode="External"/><Relationship Id="rId80" Type="http://schemas.openxmlformats.org/officeDocument/2006/relationships/hyperlink" Target="https://youtu.be/cmple9fw65w?si=U2DZCxFQHzfsk4O2&amp;t=9" TargetMode="External"/><Relationship Id="rId85" Type="http://schemas.openxmlformats.org/officeDocument/2006/relationships/hyperlink" Target="https://www.youtube.com/watch?v=C_VtOYc6j5c" TargetMode="External"/><Relationship Id="rId3" Type="http://schemas.openxmlformats.org/officeDocument/2006/relationships/hyperlink" Target="https://www.youtube.com/shorts/Oi3bW9nQmGI" TargetMode="External"/><Relationship Id="rId12" Type="http://schemas.openxmlformats.org/officeDocument/2006/relationships/hyperlink" Target="https://www.youtube.com/shorts/mPg5_2oCrZE" TargetMode="External"/><Relationship Id="rId17" Type="http://schemas.openxmlformats.org/officeDocument/2006/relationships/hyperlink" Target="https://youtu.be/P8s_LRBp9lo?si=QBLEW04PU1y7BT-J" TargetMode="External"/><Relationship Id="rId25" Type="http://schemas.openxmlformats.org/officeDocument/2006/relationships/hyperlink" Target="https://www.youtube.com/watch?v=5QFjmotLfW4" TargetMode="External"/><Relationship Id="rId33" Type="http://schemas.openxmlformats.org/officeDocument/2006/relationships/hyperlink" Target="https://www.youtube.com/watch?v=C_VtOYc6j5c" TargetMode="External"/><Relationship Id="rId38" Type="http://schemas.openxmlformats.org/officeDocument/2006/relationships/hyperlink" Target="https://www.youtube.com/watch?v=bHO0A4ZF_Zg" TargetMode="External"/><Relationship Id="rId46" Type="http://schemas.openxmlformats.org/officeDocument/2006/relationships/hyperlink" Target="https://hips.hearstapps.com/hmg-prod/images/workouts/2016/08/supermanw-1472154493.gif?crop=1xw:1xh;center,top&amp;resize=640:*" TargetMode="External"/><Relationship Id="rId59" Type="http://schemas.openxmlformats.org/officeDocument/2006/relationships/hyperlink" Target="https://www.youtube.com/watch?v=C_VtOYc6j5c" TargetMode="External"/><Relationship Id="rId67" Type="http://schemas.openxmlformats.org/officeDocument/2006/relationships/hyperlink" Target="https://youtu.be/cmple9fw65w?si=U2DZCxFQHzfsk4O2&amp;t=9" TargetMode="External"/><Relationship Id="rId20" Type="http://schemas.openxmlformats.org/officeDocument/2006/relationships/hyperlink" Target="https://hips.hearstapps.com/hmg-prod/images/workouts/2016/08/supermanw-1472154493.gif?crop=1xw:1xh;center,top&amp;resize=640:*" TargetMode="External"/><Relationship Id="rId41" Type="http://schemas.openxmlformats.org/officeDocument/2006/relationships/hyperlink" Target="https://youtu.be/cmple9fw65w?si=U2DZCxFQHzfsk4O2&amp;t=9" TargetMode="External"/><Relationship Id="rId54" Type="http://schemas.openxmlformats.org/officeDocument/2006/relationships/hyperlink" Target="https://youtu.be/cmple9fw65w?si=U2DZCxFQHzfsk4O2&amp;t=9" TargetMode="External"/><Relationship Id="rId62" Type="http://schemas.openxmlformats.org/officeDocument/2006/relationships/hyperlink" Target="https://youtu.be/IjDmaCdUH0g?si=4bUDoax4RMNSfoMG" TargetMode="External"/><Relationship Id="rId70" Type="http://schemas.openxmlformats.org/officeDocument/2006/relationships/hyperlink" Target="https://www.youtube.com/watch?v=bHO0A4ZF_Zg" TargetMode="External"/><Relationship Id="rId75" Type="http://schemas.openxmlformats.org/officeDocument/2006/relationships/hyperlink" Target="https://www.youtube.com/watch?v=5QFjmotLfW4" TargetMode="External"/><Relationship Id="rId83" Type="http://schemas.openxmlformats.org/officeDocument/2006/relationships/hyperlink" Target="https://www.youtube.com/watch?v=k3KHgLvo4uI&amp;t=6s" TargetMode="External"/><Relationship Id="rId88" Type="http://schemas.openxmlformats.org/officeDocument/2006/relationships/hyperlink" Target="https://youtu.be/P8s_LRBp9lo?si=QBLEW04PU1y7BT-J" TargetMode="External"/><Relationship Id="rId91" Type="http://schemas.openxmlformats.org/officeDocument/2006/relationships/hyperlink" Target="https://hips.hearstapps.com/hmg-prod/images/workouts/2016/08/supermanw-1472154493.gif?crop=1xw:1xh;center,top&amp;resize=640:*" TargetMode="External"/><Relationship Id="rId1" Type="http://schemas.openxmlformats.org/officeDocument/2006/relationships/hyperlink" Target="https://youtu.be/P8s_LRBp9lo?si=QBLEW04PU1y7BT-J" TargetMode="External"/><Relationship Id="rId6" Type="http://schemas.openxmlformats.org/officeDocument/2006/relationships/hyperlink" Target="https://www.youtube.com/shorts/MTWrCC1gTuU" TargetMode="External"/><Relationship Id="rId15" Type="http://schemas.openxmlformats.org/officeDocument/2006/relationships/hyperlink" Target="https://youtu.be/cmple9fw65w?si=U2DZCxFQHzfsk4O2&amp;t=9" TargetMode="External"/><Relationship Id="rId23" Type="http://schemas.openxmlformats.org/officeDocument/2006/relationships/hyperlink" Target="https://www.youtube.com/watch?v=5QFjmotLfW4" TargetMode="External"/><Relationship Id="rId28" Type="http://schemas.openxmlformats.org/officeDocument/2006/relationships/hyperlink" Target="https://youtu.be/cmple9fw65w?si=U2DZCxFQHzfsk4O2&amp;t=9" TargetMode="External"/><Relationship Id="rId36" Type="http://schemas.openxmlformats.org/officeDocument/2006/relationships/hyperlink" Target="https://youtu.be/IjDmaCdUH0g?si=4bUDoax4RMNSfoMG" TargetMode="External"/><Relationship Id="rId49" Type="http://schemas.openxmlformats.org/officeDocument/2006/relationships/hyperlink" Target="https://www.youtube.com/watch?v=5QFjmotLfW4" TargetMode="External"/><Relationship Id="rId57" Type="http://schemas.openxmlformats.org/officeDocument/2006/relationships/hyperlink" Target="https://www.youtube.com/watch?v=k3KHgLvo4uI&amp;t=6s" TargetMode="External"/><Relationship Id="rId10" Type="http://schemas.openxmlformats.org/officeDocument/2006/relationships/hyperlink" Target="https://www.youtube.com/shorts/ZP72SmuKOuE" TargetMode="External"/><Relationship Id="rId31" Type="http://schemas.openxmlformats.org/officeDocument/2006/relationships/hyperlink" Target="https://www.youtube.com/watch?v=k3KHgLvo4uI&amp;t=6s" TargetMode="External"/><Relationship Id="rId44" Type="http://schemas.openxmlformats.org/officeDocument/2006/relationships/hyperlink" Target="https://www.youtube.com/watch?v=bHO0A4ZF_Zg" TargetMode="External"/><Relationship Id="rId52" Type="http://schemas.openxmlformats.org/officeDocument/2006/relationships/hyperlink" Target="https://www.youtube.com/shorts/qPXgrgUrIsg" TargetMode="External"/><Relationship Id="rId60" Type="http://schemas.openxmlformats.org/officeDocument/2006/relationships/hyperlink" Target="https://www.youtube.com/shorts/6XNm_X-B-tE" TargetMode="External"/><Relationship Id="rId65" Type="http://schemas.openxmlformats.org/officeDocument/2006/relationships/hyperlink" Target="https://www.youtube.com/shorts/Oi3bW9nQmGI" TargetMode="External"/><Relationship Id="rId73" Type="http://schemas.openxmlformats.org/officeDocument/2006/relationships/hyperlink" Target="https://youtu.be/cmple9fw65w?si=U2DZCxFQHzfsk4O2&amp;t=9" TargetMode="External"/><Relationship Id="rId78" Type="http://schemas.openxmlformats.org/officeDocument/2006/relationships/hyperlink" Target="https://www.youtube.com/shorts/qPXgrgUrIsg" TargetMode="External"/><Relationship Id="rId81" Type="http://schemas.openxmlformats.org/officeDocument/2006/relationships/hyperlink" Target="https://youtu.be/IjDmaCdUH0g?si=4bUDoax4RMNSfoMG" TargetMode="External"/><Relationship Id="rId86" Type="http://schemas.openxmlformats.org/officeDocument/2006/relationships/hyperlink" Target="https://www.youtube.com/shorts/6XNm_X-B-tE" TargetMode="External"/><Relationship Id="rId4" Type="http://schemas.openxmlformats.org/officeDocument/2006/relationships/hyperlink" Target="https://hips.hearstapps.com/hmg-prod/images/workouts/2016/08/supermanw-1472154493.gif?crop=1xw:1xh;center,top&amp;resize=640:*" TargetMode="External"/><Relationship Id="rId9" Type="http://schemas.openxmlformats.org/officeDocument/2006/relationships/hyperlink" Target="https://www.youtube.com/watch?v=B5WBpQ6jrlw" TargetMode="External"/><Relationship Id="rId13" Type="http://schemas.openxmlformats.org/officeDocument/2006/relationships/hyperlink" Target="https://www.youtube.com/watch?v=C_VtOYc6j5c" TargetMode="External"/><Relationship Id="rId18" Type="http://schemas.openxmlformats.org/officeDocument/2006/relationships/hyperlink" Target="https://www.youtube.com/watch?v=bHO0A4ZF_Zg" TargetMode="External"/><Relationship Id="rId39" Type="http://schemas.openxmlformats.org/officeDocument/2006/relationships/hyperlink" Target="https://www.youtube.com/shorts/Oi3bW9nQmGI" TargetMode="External"/><Relationship Id="rId34" Type="http://schemas.openxmlformats.org/officeDocument/2006/relationships/hyperlink" Target="https://www.youtube.com/shorts/6XNm_X-B-tE" TargetMode="External"/><Relationship Id="rId50" Type="http://schemas.openxmlformats.org/officeDocument/2006/relationships/hyperlink" Target="https://www.youtube.com/shorts/MTWrCC1gTuU" TargetMode="External"/><Relationship Id="rId55" Type="http://schemas.openxmlformats.org/officeDocument/2006/relationships/hyperlink" Target="https://youtu.be/IjDmaCdUH0g?si=4bUDoax4RMNSfoMG" TargetMode="External"/><Relationship Id="rId76" Type="http://schemas.openxmlformats.org/officeDocument/2006/relationships/hyperlink" Target="https://www.youtube.com/shorts/MTWrCC1gTuU" TargetMode="External"/><Relationship Id="rId7" Type="http://schemas.openxmlformats.org/officeDocument/2006/relationships/hyperlink" Target="https://www.youtube.com/watch?v=5QFjmotLfW4" TargetMode="External"/><Relationship Id="rId71" Type="http://schemas.openxmlformats.org/officeDocument/2006/relationships/hyperlink" Target="https://www.youtube.com/shorts/Oi3bW9nQmGI" TargetMode="External"/><Relationship Id="rId92" Type="http://schemas.openxmlformats.org/officeDocument/2006/relationships/drawing" Target="../drawings/drawing10.xml"/><Relationship Id="rId2" Type="http://schemas.openxmlformats.org/officeDocument/2006/relationships/hyperlink" Target="https://www.youtube.com/watch?v=bHO0A4ZF_Zg" TargetMode="External"/><Relationship Id="rId29" Type="http://schemas.openxmlformats.org/officeDocument/2006/relationships/hyperlink" Target="https://youtu.be/IjDmaCdUH0g?si=4bUDoax4RMNSfoMG" TargetMode="External"/><Relationship Id="rId24" Type="http://schemas.openxmlformats.org/officeDocument/2006/relationships/hyperlink" Target="https://www.youtube.com/shorts/MTWrCC1gTuU" TargetMode="External"/><Relationship Id="rId40" Type="http://schemas.openxmlformats.org/officeDocument/2006/relationships/hyperlink" Target="https://hips.hearstapps.com/hmg-prod/images/workouts/2016/08/supermanw-1472154493.gif?crop=1xw:1xh;center,top&amp;resize=640:*" TargetMode="External"/><Relationship Id="rId45" Type="http://schemas.openxmlformats.org/officeDocument/2006/relationships/hyperlink" Target="https://www.youtube.com/shorts/Oi3bW9nQmGI" TargetMode="External"/><Relationship Id="rId66" Type="http://schemas.openxmlformats.org/officeDocument/2006/relationships/hyperlink" Target="https://hips.hearstapps.com/hmg-prod/images/workouts/2016/08/supermanw-1472154493.gif?crop=1xw:1xh;center,top&amp;resize=640:*" TargetMode="External"/><Relationship Id="rId87" Type="http://schemas.openxmlformats.org/officeDocument/2006/relationships/hyperlink" Target="https://youtu.be/IjDmaCdUH0g?si=4bUDoax4RMNSfoMG" TargetMode="External"/><Relationship Id="rId61" Type="http://schemas.openxmlformats.org/officeDocument/2006/relationships/hyperlink" Target="https://youtu.be/cmple9fw65w?si=U2DZCxFQHzfsk4O2&amp;t=9" TargetMode="External"/><Relationship Id="rId82" Type="http://schemas.openxmlformats.org/officeDocument/2006/relationships/hyperlink" Target="https://www.youtube.com/shorts/ZP72SmuKOuE" TargetMode="External"/><Relationship Id="rId19" Type="http://schemas.openxmlformats.org/officeDocument/2006/relationships/hyperlink" Target="https://www.youtube.com/shorts/Oi3bW9nQmGI"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www.youtube.com/watch?v=C_VtOYc6j5c" TargetMode="External"/><Relationship Id="rId21" Type="http://schemas.openxmlformats.org/officeDocument/2006/relationships/hyperlink" Target="https://youtu.be/IjDmaCdUH0g?si=4bUDoax4RMNSfoMG" TargetMode="External"/><Relationship Id="rId42" Type="http://schemas.openxmlformats.org/officeDocument/2006/relationships/hyperlink" Target="https://www.youtube.com/shorts/qPXgrgUrIsg" TargetMode="External"/><Relationship Id="rId47" Type="http://schemas.openxmlformats.org/officeDocument/2006/relationships/hyperlink" Target="https://www.youtube.com/watch?v=Bpaa3bagNo4" TargetMode="External"/><Relationship Id="rId63" Type="http://schemas.openxmlformats.org/officeDocument/2006/relationships/hyperlink" Target="https://youtu.be/cmple9fw65w?si=U2DZCxFQHzfsk4O2&amp;t=9" TargetMode="External"/><Relationship Id="rId68" Type="http://schemas.openxmlformats.org/officeDocument/2006/relationships/hyperlink" Target="https://www.youtube.com/shorts/Oi3bW9nQmGI" TargetMode="External"/><Relationship Id="rId84" Type="http://schemas.openxmlformats.org/officeDocument/2006/relationships/hyperlink" Target="https://www.youtube.com/shorts/6XNm_X-B-tE" TargetMode="External"/><Relationship Id="rId89" Type="http://schemas.openxmlformats.org/officeDocument/2006/relationships/hyperlink" Target="https://youtu.be/P8s_LRBp9lo?si=QBLEW04PU1y7BT-J" TargetMode="External"/><Relationship Id="rId16" Type="http://schemas.openxmlformats.org/officeDocument/2006/relationships/hyperlink" Target="https://www.youtube.com/watch?v=U0usrfsZF2E" TargetMode="External"/><Relationship Id="rId11" Type="http://schemas.openxmlformats.org/officeDocument/2006/relationships/hyperlink" Target="https://www.youtube.com/watch?v=bHO0A4ZF_Zg" TargetMode="External"/><Relationship Id="rId32" Type="http://schemas.openxmlformats.org/officeDocument/2006/relationships/hyperlink" Target="https://youtu.be/P8s_LRBp9lo?si=QBLEW04PU1y7BT-J" TargetMode="External"/><Relationship Id="rId37" Type="http://schemas.openxmlformats.org/officeDocument/2006/relationships/hyperlink" Target="https://www.youtube.com/watch?v=uyjuoFbFQVg" TargetMode="External"/><Relationship Id="rId53" Type="http://schemas.openxmlformats.org/officeDocument/2006/relationships/hyperlink" Target="https://www.youtube.com/watch?v=k3KHgLvo4uI&amp;t=6s" TargetMode="External"/><Relationship Id="rId58" Type="http://schemas.openxmlformats.org/officeDocument/2006/relationships/hyperlink" Target="https://youtu.be/IjDmaCdUH0g?si=4bUDoax4RMNSfoMG" TargetMode="External"/><Relationship Id="rId74" Type="http://schemas.openxmlformats.org/officeDocument/2006/relationships/hyperlink" Target="https://www.youtube.com/watch?v=uyjuoFbFQVg" TargetMode="External"/><Relationship Id="rId79" Type="http://schemas.openxmlformats.org/officeDocument/2006/relationships/hyperlink" Target="https://www.youtube.com/shorts/vpRngzQA0v0" TargetMode="External"/><Relationship Id="rId5" Type="http://schemas.openxmlformats.org/officeDocument/2006/relationships/hyperlink" Target="https://www.youtube.com/shorts/ZP72SmuKOuE" TargetMode="External"/><Relationship Id="rId90" Type="http://schemas.openxmlformats.org/officeDocument/2006/relationships/hyperlink" Target="https://youtube.com/shorts/yQEx9OC2C3E?si=2m3_PSpizPH_pNx9" TargetMode="External"/><Relationship Id="rId95" Type="http://schemas.openxmlformats.org/officeDocument/2006/relationships/hyperlink" Target="https://www.youtube.com/watch?v=Bpaa3bagNo4" TargetMode="External"/><Relationship Id="rId22" Type="http://schemas.openxmlformats.org/officeDocument/2006/relationships/hyperlink" Target="https://www.youtube.com/shorts/vpRngzQA0v0" TargetMode="External"/><Relationship Id="rId27" Type="http://schemas.openxmlformats.org/officeDocument/2006/relationships/hyperlink" Target="https://www.youtube.com/shorts/6XNm_X-B-tE" TargetMode="External"/><Relationship Id="rId43" Type="http://schemas.openxmlformats.org/officeDocument/2006/relationships/hyperlink" Target="https://youtu.be/cmple9fw65w?si=U2DZCxFQHzfsk4O2&amp;t=9" TargetMode="External"/><Relationship Id="rId48" Type="http://schemas.openxmlformats.org/officeDocument/2006/relationships/hyperlink" Target="https://www.youtube.com/shorts/Oi3bW9nQmGI" TargetMode="External"/><Relationship Id="rId64" Type="http://schemas.openxmlformats.org/officeDocument/2006/relationships/hyperlink" Target="https://youtu.be/IjDmaCdUH0g?si=4bUDoax4RMNSfoMG" TargetMode="External"/><Relationship Id="rId69" Type="http://schemas.openxmlformats.org/officeDocument/2006/relationships/hyperlink" Target="https://www.youtube.com/shorts/vpRngzQA0v0" TargetMode="External"/><Relationship Id="rId80" Type="http://schemas.openxmlformats.org/officeDocument/2006/relationships/hyperlink" Target="https://www.youtube.com/shorts/ZP72SmuKOuE" TargetMode="External"/><Relationship Id="rId85" Type="http://schemas.openxmlformats.org/officeDocument/2006/relationships/hyperlink" Target="https://youtu.be/cmple9fw65w?si=U2DZCxFQHzfsk4O2&amp;t=9" TargetMode="External"/><Relationship Id="rId3" Type="http://schemas.openxmlformats.org/officeDocument/2006/relationships/hyperlink" Target="https://www.youtube.com/watch?v=Bpaa3bagNo4" TargetMode="External"/><Relationship Id="rId12" Type="http://schemas.openxmlformats.org/officeDocument/2006/relationships/hyperlink" Target="https://youtu.be/P8s_LRBp9lo?si=QBLEW04PU1y7BT-J" TargetMode="External"/><Relationship Id="rId17" Type="http://schemas.openxmlformats.org/officeDocument/2006/relationships/hyperlink" Target="https://www.youtube.com/watch?v=uyjuoFbFQVg" TargetMode="External"/><Relationship Id="rId25" Type="http://schemas.openxmlformats.org/officeDocument/2006/relationships/hyperlink" Target="https://www.youtube.com/shorts/mPg5_2oCrZE" TargetMode="External"/><Relationship Id="rId33" Type="http://schemas.openxmlformats.org/officeDocument/2006/relationships/hyperlink" Target="https://youtube.com/shorts/yQEx9OC2C3E?si=2m3_PSpizPH_pNx9" TargetMode="External"/><Relationship Id="rId38" Type="http://schemas.openxmlformats.org/officeDocument/2006/relationships/hyperlink" Target="https://www.youtube.com/watch?v=Bpaa3bagNo4" TargetMode="External"/><Relationship Id="rId46" Type="http://schemas.openxmlformats.org/officeDocument/2006/relationships/hyperlink" Target="https://www.youtube.com/watch?v=uyjuoFbFQVg" TargetMode="External"/><Relationship Id="rId59" Type="http://schemas.openxmlformats.org/officeDocument/2006/relationships/hyperlink" Target="https://www.youtube.com/watch?v=5QFjmotLfW4" TargetMode="External"/><Relationship Id="rId67" Type="http://schemas.openxmlformats.org/officeDocument/2006/relationships/hyperlink" Target="https://www.youtube.com/watch?v=Bpaa3bagNo4" TargetMode="External"/><Relationship Id="rId20" Type="http://schemas.openxmlformats.org/officeDocument/2006/relationships/hyperlink" Target="https://youtu.be/cmple9fw65w?si=U2DZCxFQHzfsk4O2&amp;t=9" TargetMode="External"/><Relationship Id="rId41" Type="http://schemas.openxmlformats.org/officeDocument/2006/relationships/hyperlink" Target="https://www.youtube.com/shorts/qPXgrgUrIsg" TargetMode="External"/><Relationship Id="rId54" Type="http://schemas.openxmlformats.org/officeDocument/2006/relationships/hyperlink" Target="https://www.youtube.com/shorts/mPg5_2oCrZE" TargetMode="External"/><Relationship Id="rId62" Type="http://schemas.openxmlformats.org/officeDocument/2006/relationships/hyperlink" Target="https://youtube.com/shorts/yQEx9OC2C3E?si=2m3_PSpizPH_pNx9" TargetMode="External"/><Relationship Id="rId70" Type="http://schemas.openxmlformats.org/officeDocument/2006/relationships/hyperlink" Target="https://www.youtube.com/shorts/qPXgrgUrIsg" TargetMode="External"/><Relationship Id="rId75" Type="http://schemas.openxmlformats.org/officeDocument/2006/relationships/hyperlink" Target="https://www.youtube.com/watch?v=Bpaa3bagNo4" TargetMode="External"/><Relationship Id="rId83" Type="http://schemas.openxmlformats.org/officeDocument/2006/relationships/hyperlink" Target="https://www.youtube.com/watch?v=C_VtOYc6j5c" TargetMode="External"/><Relationship Id="rId88" Type="http://schemas.openxmlformats.org/officeDocument/2006/relationships/hyperlink" Target="https://www.youtube.com/watch?v=bHO0A4ZF_Zg" TargetMode="External"/><Relationship Id="rId91" Type="http://schemas.openxmlformats.org/officeDocument/2006/relationships/hyperlink" Target="https://youtu.be/cmple9fw65w?si=U2DZCxFQHzfsk4O2&amp;t=9" TargetMode="External"/><Relationship Id="rId96" Type="http://schemas.openxmlformats.org/officeDocument/2006/relationships/hyperlink" Target="https://www.youtube.com/shorts/Oi3bW9nQmGI" TargetMode="External"/><Relationship Id="rId1" Type="http://schemas.openxmlformats.org/officeDocument/2006/relationships/hyperlink" Target="https://www.youtube.com/watch?v=U0usrfsZF2E" TargetMode="External"/><Relationship Id="rId6" Type="http://schemas.openxmlformats.org/officeDocument/2006/relationships/hyperlink" Target="https://www.youtube.com/watch?v=k3KHgLvo4uI&amp;t=6s" TargetMode="External"/><Relationship Id="rId15" Type="http://schemas.openxmlformats.org/officeDocument/2006/relationships/hyperlink" Target="https://youtu.be/IjDmaCdUH0g?si=4bUDoax4RMNSfoMG" TargetMode="External"/><Relationship Id="rId23" Type="http://schemas.openxmlformats.org/officeDocument/2006/relationships/hyperlink" Target="https://www.youtube.com/shorts/ZP72SmuKOuE" TargetMode="External"/><Relationship Id="rId28" Type="http://schemas.openxmlformats.org/officeDocument/2006/relationships/hyperlink" Target="https://youtu.be/cmple9fw65w?si=U2DZCxFQHzfsk4O2&amp;t=9" TargetMode="External"/><Relationship Id="rId36" Type="http://schemas.openxmlformats.org/officeDocument/2006/relationships/hyperlink" Target="https://www.youtube.com/watch?v=U0usrfsZF2E" TargetMode="External"/><Relationship Id="rId49" Type="http://schemas.openxmlformats.org/officeDocument/2006/relationships/hyperlink" Target="https://youtu.be/cmple9fw65w?si=U2DZCxFQHzfsk4O2&amp;t=9" TargetMode="External"/><Relationship Id="rId57" Type="http://schemas.openxmlformats.org/officeDocument/2006/relationships/hyperlink" Target="https://youtu.be/cmple9fw65w?si=U2DZCxFQHzfsk4O2&amp;t=9" TargetMode="External"/><Relationship Id="rId10" Type="http://schemas.openxmlformats.org/officeDocument/2006/relationships/hyperlink" Target="https://www.youtube.com/watch?v=5QFjmotLfW4" TargetMode="External"/><Relationship Id="rId31" Type="http://schemas.openxmlformats.org/officeDocument/2006/relationships/hyperlink" Target="https://www.youtube.com/watch?v=bHO0A4ZF_Zg" TargetMode="External"/><Relationship Id="rId44" Type="http://schemas.openxmlformats.org/officeDocument/2006/relationships/hyperlink" Target="https://youtu.be/IjDmaCdUH0g?si=4bUDoax4RMNSfoMG" TargetMode="External"/><Relationship Id="rId52" Type="http://schemas.openxmlformats.org/officeDocument/2006/relationships/hyperlink" Target="https://www.youtube.com/shorts/ZP72SmuKOuE" TargetMode="External"/><Relationship Id="rId60" Type="http://schemas.openxmlformats.org/officeDocument/2006/relationships/hyperlink" Target="https://www.youtube.com/watch?v=bHO0A4ZF_Zg" TargetMode="External"/><Relationship Id="rId65" Type="http://schemas.openxmlformats.org/officeDocument/2006/relationships/hyperlink" Target="https://www.youtube.com/watch?v=U0usrfsZF2E" TargetMode="External"/><Relationship Id="rId73" Type="http://schemas.openxmlformats.org/officeDocument/2006/relationships/hyperlink" Target="https://www.youtube.com/watch?v=U0usrfsZF2E" TargetMode="External"/><Relationship Id="rId78" Type="http://schemas.openxmlformats.org/officeDocument/2006/relationships/hyperlink" Target="https://youtu.be/IjDmaCdUH0g?si=4bUDoax4RMNSfoMG" TargetMode="External"/><Relationship Id="rId81" Type="http://schemas.openxmlformats.org/officeDocument/2006/relationships/hyperlink" Target="https://www.youtube.com/watch?v=k3KHgLvo4uI&amp;t=6s" TargetMode="External"/><Relationship Id="rId86" Type="http://schemas.openxmlformats.org/officeDocument/2006/relationships/hyperlink" Target="https://youtu.be/IjDmaCdUH0g?si=4bUDoax4RMNSfoMG" TargetMode="External"/><Relationship Id="rId94" Type="http://schemas.openxmlformats.org/officeDocument/2006/relationships/hyperlink" Target="https://www.youtube.com/watch?v=uyjuoFbFQVg" TargetMode="External"/><Relationship Id="rId99" Type="http://schemas.openxmlformats.org/officeDocument/2006/relationships/drawing" Target="../drawings/drawing11.xml"/><Relationship Id="rId4" Type="http://schemas.openxmlformats.org/officeDocument/2006/relationships/hyperlink" Target="https://www.youtube.com/shorts/Oi3bW9nQmGI" TargetMode="External"/><Relationship Id="rId9" Type="http://schemas.openxmlformats.org/officeDocument/2006/relationships/hyperlink" Target="https://www.youtube.com/shorts/6XNm_X-B-tE" TargetMode="External"/><Relationship Id="rId13" Type="http://schemas.openxmlformats.org/officeDocument/2006/relationships/hyperlink" Target="https://youtube.com/shorts/yQEx9OC2C3E?si=2m3_PSpizPH_pNx9" TargetMode="External"/><Relationship Id="rId18" Type="http://schemas.openxmlformats.org/officeDocument/2006/relationships/hyperlink" Target="https://www.youtube.com/watch?v=Bpaa3bagNo4" TargetMode="External"/><Relationship Id="rId39" Type="http://schemas.openxmlformats.org/officeDocument/2006/relationships/hyperlink" Target="https://www.youtube.com/shorts/Oi3bW9nQmGI" TargetMode="External"/><Relationship Id="rId34" Type="http://schemas.openxmlformats.org/officeDocument/2006/relationships/hyperlink" Target="https://youtu.be/cmple9fw65w?si=U2DZCxFQHzfsk4O2&amp;t=9" TargetMode="External"/><Relationship Id="rId50" Type="http://schemas.openxmlformats.org/officeDocument/2006/relationships/hyperlink" Target="https://youtu.be/IjDmaCdUH0g?si=4bUDoax4RMNSfoMG" TargetMode="External"/><Relationship Id="rId55" Type="http://schemas.openxmlformats.org/officeDocument/2006/relationships/hyperlink" Target="https://www.youtube.com/watch?v=C_VtOYc6j5c" TargetMode="External"/><Relationship Id="rId76" Type="http://schemas.openxmlformats.org/officeDocument/2006/relationships/hyperlink" Target="https://www.youtube.com/shorts/Oi3bW9nQmGI" TargetMode="External"/><Relationship Id="rId97" Type="http://schemas.openxmlformats.org/officeDocument/2006/relationships/hyperlink" Target="https://www.youtube.com/shorts/vpRngzQA0v0" TargetMode="External"/><Relationship Id="rId7" Type="http://schemas.openxmlformats.org/officeDocument/2006/relationships/hyperlink" Target="https://www.youtube.com/shorts/mPg5_2oCrZE" TargetMode="External"/><Relationship Id="rId71" Type="http://schemas.openxmlformats.org/officeDocument/2006/relationships/hyperlink" Target="https://youtu.be/cmple9fw65w?si=U2DZCxFQHzfsk4O2&amp;t=9" TargetMode="External"/><Relationship Id="rId92" Type="http://schemas.openxmlformats.org/officeDocument/2006/relationships/hyperlink" Target="https://youtu.be/IjDmaCdUH0g?si=4bUDoax4RMNSfoMG" TargetMode="External"/><Relationship Id="rId2" Type="http://schemas.openxmlformats.org/officeDocument/2006/relationships/hyperlink" Target="https://www.youtube.com/watch?v=uyjuoFbFQVg" TargetMode="External"/><Relationship Id="rId29" Type="http://schemas.openxmlformats.org/officeDocument/2006/relationships/hyperlink" Target="https://youtu.be/IjDmaCdUH0g?si=4bUDoax4RMNSfoMG" TargetMode="External"/><Relationship Id="rId24" Type="http://schemas.openxmlformats.org/officeDocument/2006/relationships/hyperlink" Target="https://www.youtube.com/watch?v=k3KHgLvo4uI&amp;t=6s" TargetMode="External"/><Relationship Id="rId40" Type="http://schemas.openxmlformats.org/officeDocument/2006/relationships/hyperlink" Target="https://www.youtube.com/shorts/vpRngzQA0v0" TargetMode="External"/><Relationship Id="rId45" Type="http://schemas.openxmlformats.org/officeDocument/2006/relationships/hyperlink" Target="https://www.youtube.com/watch?v=U0usrfsZF2E" TargetMode="External"/><Relationship Id="rId66" Type="http://schemas.openxmlformats.org/officeDocument/2006/relationships/hyperlink" Target="https://www.youtube.com/watch?v=uyjuoFbFQVg" TargetMode="External"/><Relationship Id="rId87" Type="http://schemas.openxmlformats.org/officeDocument/2006/relationships/hyperlink" Target="https://www.youtube.com/watch?v=5QFjmotLfW4" TargetMode="External"/><Relationship Id="rId61" Type="http://schemas.openxmlformats.org/officeDocument/2006/relationships/hyperlink" Target="https://youtu.be/P8s_LRBp9lo?si=QBLEW04PU1y7BT-J" TargetMode="External"/><Relationship Id="rId82" Type="http://schemas.openxmlformats.org/officeDocument/2006/relationships/hyperlink" Target="https://www.youtube.com/shorts/mPg5_2oCrZE" TargetMode="External"/><Relationship Id="rId19" Type="http://schemas.openxmlformats.org/officeDocument/2006/relationships/hyperlink" Target="https://www.youtube.com/shorts/Oi3bW9nQmGI" TargetMode="External"/><Relationship Id="rId14" Type="http://schemas.openxmlformats.org/officeDocument/2006/relationships/hyperlink" Target="https://youtu.be/cmple9fw65w?si=U2DZCxFQHzfsk4O2&amp;t=9" TargetMode="External"/><Relationship Id="rId30" Type="http://schemas.openxmlformats.org/officeDocument/2006/relationships/hyperlink" Target="https://www.youtube.com/watch?v=5QFjmotLfW4" TargetMode="External"/><Relationship Id="rId35" Type="http://schemas.openxmlformats.org/officeDocument/2006/relationships/hyperlink" Target="https://youtu.be/IjDmaCdUH0g?si=4bUDoax4RMNSfoMG" TargetMode="External"/><Relationship Id="rId56" Type="http://schemas.openxmlformats.org/officeDocument/2006/relationships/hyperlink" Target="https://www.youtube.com/shorts/6XNm_X-B-tE" TargetMode="External"/><Relationship Id="rId77" Type="http://schemas.openxmlformats.org/officeDocument/2006/relationships/hyperlink" Target="https://youtu.be/cmple9fw65w?si=U2DZCxFQHzfsk4O2&amp;t=9" TargetMode="External"/><Relationship Id="rId8" Type="http://schemas.openxmlformats.org/officeDocument/2006/relationships/hyperlink" Target="https://www.youtube.com/watch?v=C_VtOYc6j5c" TargetMode="External"/><Relationship Id="rId51" Type="http://schemas.openxmlformats.org/officeDocument/2006/relationships/hyperlink" Target="https://www.youtube.com/shorts/vpRngzQA0v0" TargetMode="External"/><Relationship Id="rId72" Type="http://schemas.openxmlformats.org/officeDocument/2006/relationships/hyperlink" Target="https://youtu.be/IjDmaCdUH0g?si=4bUDoax4RMNSfoMG" TargetMode="External"/><Relationship Id="rId93" Type="http://schemas.openxmlformats.org/officeDocument/2006/relationships/hyperlink" Target="https://www.youtube.com/watch?v=U0usrfsZF2E" TargetMode="External"/><Relationship Id="rId98" Type="http://schemas.openxmlformats.org/officeDocument/2006/relationships/hyperlink" Target="https://www.youtube.com/shorts/qPXgrgUrIs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calculator-online.net/fr/macro-calculato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youtube.com/shorts/qPXgrgUrIsg?app=desktop&amp;cbrd=1" TargetMode="External"/><Relationship Id="rId3" Type="http://schemas.openxmlformats.org/officeDocument/2006/relationships/hyperlink" Target="https://www.youtube.com/shorts/S1-M2cT4H3Y" TargetMode="External"/><Relationship Id="rId7" Type="http://schemas.openxmlformats.org/officeDocument/2006/relationships/hyperlink" Target="https://www.youtube.com/watch?v=uyjuoFbFQVg&amp;ab_channel=TestosteroneNation" TargetMode="External"/><Relationship Id="rId2" Type="http://schemas.openxmlformats.org/officeDocument/2006/relationships/hyperlink" Target="https://youtube.com/shorts/yQEx9OC2C3E?si=2m3_PSpizPH_pNx9" TargetMode="External"/><Relationship Id="rId1" Type="http://schemas.openxmlformats.org/officeDocument/2006/relationships/hyperlink" Target="https://www.youtube.com/watch?v=bQygjApp2Ew&amp;t=0s" TargetMode="External"/><Relationship Id="rId6" Type="http://schemas.openxmlformats.org/officeDocument/2006/relationships/hyperlink" Target="https://www.youtube.com/watch?v=B5WBpQ6jrlw&amp;ab_channel=NuLevelTraining" TargetMode="External"/><Relationship Id="rId11" Type="http://schemas.openxmlformats.org/officeDocument/2006/relationships/drawing" Target="../drawings/drawing4.xml"/><Relationship Id="rId5" Type="http://schemas.openxmlformats.org/officeDocument/2006/relationships/hyperlink" Target="https://www.youtube.com/watch?v=C_VtOYc6j5c" TargetMode="External"/><Relationship Id="rId10" Type="http://schemas.openxmlformats.org/officeDocument/2006/relationships/printerSettings" Target="../printerSettings/printerSettings2.bin"/><Relationship Id="rId4" Type="http://schemas.openxmlformats.org/officeDocument/2006/relationships/hyperlink" Target="https://methode-jvc.webador.be/acte-1-pdc-l-eveil-du-heros" TargetMode="External"/><Relationship Id="rId9" Type="http://schemas.openxmlformats.org/officeDocument/2006/relationships/hyperlink" Target="https://www.youtube.com/shorts/6XNm_X-B-tE?app=desktop&amp;cbrd=1"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youtube.com/watch?v=uyjuoFbFQVg" TargetMode="External"/><Relationship Id="rId18" Type="http://schemas.openxmlformats.org/officeDocument/2006/relationships/hyperlink" Target="https://www.youtube.com/watch?v=B5WBpQ6jrlw" TargetMode="External"/><Relationship Id="rId26" Type="http://schemas.openxmlformats.org/officeDocument/2006/relationships/hyperlink" Target="https://www.youtube.com/watch?v=B5WBpQ6jrlw" TargetMode="External"/><Relationship Id="rId39" Type="http://schemas.openxmlformats.org/officeDocument/2006/relationships/hyperlink" Target="https://www.youtube.com/watch?v=C_VtOYc6j5c" TargetMode="External"/><Relationship Id="rId21" Type="http://schemas.openxmlformats.org/officeDocument/2006/relationships/hyperlink" Target="https://www.youtube.com/shorts/qPXgrgUrIsg" TargetMode="External"/><Relationship Id="rId34" Type="http://schemas.openxmlformats.org/officeDocument/2006/relationships/hyperlink" Target="https://www.youtube.com/shorts/S1-M2cT4H3Y" TargetMode="External"/><Relationship Id="rId42" Type="http://schemas.openxmlformats.org/officeDocument/2006/relationships/hyperlink" Target="https://www.youtube.com/watch?v=C_VtOYc6j5c" TargetMode="External"/><Relationship Id="rId47" Type="http://schemas.openxmlformats.org/officeDocument/2006/relationships/hyperlink" Target="https://youtu.be/cmple9fw65w?si=U2DZCxFQHzfsk4O2&amp;t=9" TargetMode="External"/><Relationship Id="rId50" Type="http://schemas.openxmlformats.org/officeDocument/2006/relationships/hyperlink" Target="https://youtu.be/IjDmaCdUH0g?si=4bUDoax4RMNSfoMG" TargetMode="External"/><Relationship Id="rId55" Type="http://schemas.openxmlformats.org/officeDocument/2006/relationships/printerSettings" Target="../printerSettings/printerSettings3.bin"/><Relationship Id="rId7" Type="http://schemas.openxmlformats.org/officeDocument/2006/relationships/hyperlink" Target="https://www.youtube.com/watch?v=bQygjApp2Ew&amp;t=0s" TargetMode="External"/><Relationship Id="rId2" Type="http://schemas.openxmlformats.org/officeDocument/2006/relationships/hyperlink" Target="https://www.youtube.com/watch?v=bQygjApp2Ew&amp;t=0s" TargetMode="External"/><Relationship Id="rId16" Type="http://schemas.openxmlformats.org/officeDocument/2006/relationships/hyperlink" Target="https://www.youtube.com/watch?v=uyjuoFbFQVg" TargetMode="External"/><Relationship Id="rId29" Type="http://schemas.openxmlformats.org/officeDocument/2006/relationships/hyperlink" Target="https://www.youtube.com/watch?v=B5WBpQ6jrlw" TargetMode="External"/><Relationship Id="rId11" Type="http://schemas.openxmlformats.org/officeDocument/2006/relationships/hyperlink" Target="https://www.youtube.com/watch?v=bQygjApp2Ew&amp;t=0s" TargetMode="External"/><Relationship Id="rId24" Type="http://schemas.openxmlformats.org/officeDocument/2006/relationships/hyperlink" Target="https://www.youtube.com/shorts/6XNm_X-B-tE" TargetMode="External"/><Relationship Id="rId32" Type="http://schemas.openxmlformats.org/officeDocument/2006/relationships/hyperlink" Target="https://youtube.com/shorts/yQEx9OC2C3E?si=2m3_PSpizPH_pNx9" TargetMode="External"/><Relationship Id="rId37" Type="http://schemas.openxmlformats.org/officeDocument/2006/relationships/hyperlink" Target="https://www.youtube.com/shorts/S1-M2cT4H3Y" TargetMode="External"/><Relationship Id="rId40" Type="http://schemas.openxmlformats.org/officeDocument/2006/relationships/hyperlink" Target="https://www.youtube.com/watch?v=C_VtOYc6j5c" TargetMode="External"/><Relationship Id="rId45" Type="http://schemas.openxmlformats.org/officeDocument/2006/relationships/hyperlink" Target="https://youtu.be/cmple9fw65w?si=U2DZCxFQHzfsk4O2&amp;t=9" TargetMode="External"/><Relationship Id="rId53" Type="http://schemas.openxmlformats.org/officeDocument/2006/relationships/hyperlink" Target="https://youtu.be/IjDmaCdUH0g?si=4bUDoax4RMNSfoMG" TargetMode="External"/><Relationship Id="rId5" Type="http://schemas.openxmlformats.org/officeDocument/2006/relationships/hyperlink" Target="https://www.youtube.com/watch?v=bQygjApp2Ew&amp;t=0s" TargetMode="External"/><Relationship Id="rId10" Type="http://schemas.openxmlformats.org/officeDocument/2006/relationships/hyperlink" Target="https://www.youtube.com/watch?v=bQygjApp2Ew&amp;t=0s" TargetMode="External"/><Relationship Id="rId19" Type="http://schemas.openxmlformats.org/officeDocument/2006/relationships/hyperlink" Target="https://www.youtube.com/shorts/qPXgrgUrIsg" TargetMode="External"/><Relationship Id="rId31" Type="http://schemas.openxmlformats.org/officeDocument/2006/relationships/hyperlink" Target="https://youtube.com/shorts/yQEx9OC2C3E?si=2m3_PSpizPH_pNx9" TargetMode="External"/><Relationship Id="rId44" Type="http://schemas.openxmlformats.org/officeDocument/2006/relationships/hyperlink" Target="https://youtu.be/cmple9fw65w?si=U2DZCxFQHzfsk4O2&amp;t=9" TargetMode="External"/><Relationship Id="rId52" Type="http://schemas.openxmlformats.org/officeDocument/2006/relationships/hyperlink" Target="https://youtu.be/IjDmaCdUH0g?si=4bUDoax4RMNSfoMG" TargetMode="External"/><Relationship Id="rId4" Type="http://schemas.openxmlformats.org/officeDocument/2006/relationships/hyperlink" Target="https://www.youtube.com/watch?v=C_VtOYc6j5c" TargetMode="External"/><Relationship Id="rId9" Type="http://schemas.openxmlformats.org/officeDocument/2006/relationships/hyperlink" Target="https://youtube.com/shorts/yQEx9OC2C3E?si=2m3_PSpizPH_pNx9" TargetMode="External"/><Relationship Id="rId14" Type="http://schemas.openxmlformats.org/officeDocument/2006/relationships/hyperlink" Target="https://www.youtube.com/watch?v=uyjuoFbFQVg" TargetMode="External"/><Relationship Id="rId22" Type="http://schemas.openxmlformats.org/officeDocument/2006/relationships/hyperlink" Target="https://www.youtube.com/shorts/6XNm_X-B-tE" TargetMode="External"/><Relationship Id="rId27" Type="http://schemas.openxmlformats.org/officeDocument/2006/relationships/hyperlink" Target="https://www.youtube.com/watch?v=B5WBpQ6jrlw" TargetMode="External"/><Relationship Id="rId30" Type="http://schemas.openxmlformats.org/officeDocument/2006/relationships/hyperlink" Target="https://youtube.com/shorts/yQEx9OC2C3E?si=2m3_PSpizPH_pNx9" TargetMode="External"/><Relationship Id="rId35" Type="http://schemas.openxmlformats.org/officeDocument/2006/relationships/hyperlink" Target="https://www.youtube.com/shorts/S1-M2cT4H3Y" TargetMode="External"/><Relationship Id="rId43" Type="http://schemas.openxmlformats.org/officeDocument/2006/relationships/hyperlink" Target="https://youtu.be/cmple9fw65w?si=U2DZCxFQHzfsk4O2&amp;t=9" TargetMode="External"/><Relationship Id="rId48" Type="http://schemas.openxmlformats.org/officeDocument/2006/relationships/hyperlink" Target="https://youtu.be/cmple9fw65w?si=U2DZCxFQHzfsk4O2&amp;t=9" TargetMode="External"/><Relationship Id="rId56" Type="http://schemas.openxmlformats.org/officeDocument/2006/relationships/drawing" Target="../drawings/drawing5.xml"/><Relationship Id="rId8" Type="http://schemas.openxmlformats.org/officeDocument/2006/relationships/hyperlink" Target="https://www.youtube.com/watch?v=bQygjApp2Ew&amp;t=0s" TargetMode="External"/><Relationship Id="rId51" Type="http://schemas.openxmlformats.org/officeDocument/2006/relationships/hyperlink" Target="https://youtu.be/IjDmaCdUH0g?si=4bUDoax4RMNSfoMG" TargetMode="External"/><Relationship Id="rId3" Type="http://schemas.openxmlformats.org/officeDocument/2006/relationships/hyperlink" Target="https://www.youtube.com/shorts/S1-M2cT4H3Y" TargetMode="External"/><Relationship Id="rId12" Type="http://schemas.openxmlformats.org/officeDocument/2006/relationships/hyperlink" Target="https://www.youtube.com/watch?v=uyjuoFbFQVg" TargetMode="External"/><Relationship Id="rId17" Type="http://schemas.openxmlformats.org/officeDocument/2006/relationships/hyperlink" Target="https://www.youtube.com/watch?v=uyjuoFbFQVg" TargetMode="External"/><Relationship Id="rId25" Type="http://schemas.openxmlformats.org/officeDocument/2006/relationships/hyperlink" Target="https://www.youtube.com/watch?v=B5WBpQ6jrlw" TargetMode="External"/><Relationship Id="rId33" Type="http://schemas.openxmlformats.org/officeDocument/2006/relationships/hyperlink" Target="https://www.youtube.com/shorts/S1-M2cT4H3Y" TargetMode="External"/><Relationship Id="rId38" Type="http://schemas.openxmlformats.org/officeDocument/2006/relationships/hyperlink" Target="https://www.youtube.com/watch?v=C_VtOYc6j5c" TargetMode="External"/><Relationship Id="rId46" Type="http://schemas.openxmlformats.org/officeDocument/2006/relationships/hyperlink" Target="https://youtu.be/cmple9fw65w?si=U2DZCxFQHzfsk4O2&amp;t=9" TargetMode="External"/><Relationship Id="rId20" Type="http://schemas.openxmlformats.org/officeDocument/2006/relationships/hyperlink" Target="https://www.youtube.com/shorts/qPXgrgUrIsg" TargetMode="External"/><Relationship Id="rId41" Type="http://schemas.openxmlformats.org/officeDocument/2006/relationships/hyperlink" Target="https://www.youtube.com/watch?v=C_VtOYc6j5c" TargetMode="External"/><Relationship Id="rId54" Type="http://schemas.openxmlformats.org/officeDocument/2006/relationships/hyperlink" Target="https://youtu.be/IjDmaCdUH0g?si=4bUDoax4RMNSfoMG" TargetMode="External"/><Relationship Id="rId1" Type="http://schemas.openxmlformats.org/officeDocument/2006/relationships/hyperlink" Target="https://youtube.com/shorts/yQEx9OC2C3E?si=2m3_PSpizPH_pNx9" TargetMode="External"/><Relationship Id="rId6" Type="http://schemas.openxmlformats.org/officeDocument/2006/relationships/hyperlink" Target="https://youtube.com/shorts/yQEx9OC2C3E?si=2m3_PSpizPH_pNx9" TargetMode="External"/><Relationship Id="rId15" Type="http://schemas.openxmlformats.org/officeDocument/2006/relationships/hyperlink" Target="https://www.youtube.com/watch?v=uyjuoFbFQVg" TargetMode="External"/><Relationship Id="rId23" Type="http://schemas.openxmlformats.org/officeDocument/2006/relationships/hyperlink" Target="https://www.youtube.com/shorts/6XNm_X-B-tE" TargetMode="External"/><Relationship Id="rId28" Type="http://schemas.openxmlformats.org/officeDocument/2006/relationships/hyperlink" Target="https://www.youtube.com/watch?v=B5WBpQ6jrlw" TargetMode="External"/><Relationship Id="rId36" Type="http://schemas.openxmlformats.org/officeDocument/2006/relationships/hyperlink" Target="https://www.youtube.com/shorts/S1-M2cT4H3Y" TargetMode="External"/><Relationship Id="rId49" Type="http://schemas.openxmlformats.org/officeDocument/2006/relationships/hyperlink" Target="https://youtu.be/IjDmaCdUH0g?si=4bUDoax4RMNSfoMG"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youtube.com/watch?v=uyjuoFbFQVg" TargetMode="External"/><Relationship Id="rId21" Type="http://schemas.openxmlformats.org/officeDocument/2006/relationships/hyperlink" Target="https://youtu.be/P8s_LRBp9lo?si=QBLEW04PU1y7BT-J" TargetMode="External"/><Relationship Id="rId42" Type="http://schemas.openxmlformats.org/officeDocument/2006/relationships/hyperlink" Target="https://www.youtube.com/watch?app=desktop&amp;si=LWyXVbYtDjva6wt2&amp;v=Ocg8wyTciVc&amp;feature=youtu.be&amp;ab_channel=BodY-ProoFCalisthenics" TargetMode="External"/><Relationship Id="rId47" Type="http://schemas.openxmlformats.org/officeDocument/2006/relationships/hyperlink" Target="https://www.youtube.com/shorts/ZP72SmuKOuE" TargetMode="External"/><Relationship Id="rId63" Type="http://schemas.openxmlformats.org/officeDocument/2006/relationships/hyperlink" Target="https://www.youtube.com/shorts/qPXgrgUrIsg" TargetMode="External"/><Relationship Id="rId68" Type="http://schemas.openxmlformats.org/officeDocument/2006/relationships/hyperlink" Target="https://www.youtube.com/watch?v=C_VtOYc6j5c" TargetMode="External"/><Relationship Id="rId84" Type="http://schemas.openxmlformats.org/officeDocument/2006/relationships/hyperlink" Target="https://youtu.be/cmple9fw65w?si=U2DZCxFQHzfsk4O2&amp;t=9" TargetMode="External"/><Relationship Id="rId89" Type="http://schemas.openxmlformats.org/officeDocument/2006/relationships/hyperlink" Target="https://youtu.be/IjDmaCdUH0g?si=4bUDoax4RMNSfoMG" TargetMode="External"/><Relationship Id="rId16" Type="http://schemas.openxmlformats.org/officeDocument/2006/relationships/hyperlink" Target="https://www.youtube.com/shorts/MTWrCC1gTuU" TargetMode="External"/><Relationship Id="rId11" Type="http://schemas.openxmlformats.org/officeDocument/2006/relationships/hyperlink" Target="https://www.youtube.com/shorts/ZP72SmuKOuE" TargetMode="External"/><Relationship Id="rId32" Type="http://schemas.openxmlformats.org/officeDocument/2006/relationships/hyperlink" Target="https://www.youtube.com/watch?v=B5WBpQ6jrlw" TargetMode="External"/><Relationship Id="rId37" Type="http://schemas.openxmlformats.org/officeDocument/2006/relationships/hyperlink" Target="https://www.youtube.com/watch?v=bHO0A4ZF_Zg" TargetMode="External"/><Relationship Id="rId53" Type="http://schemas.openxmlformats.org/officeDocument/2006/relationships/hyperlink" Target="https://www.youtube.com/watch?v=k3KHgLvo4uI&amp;t=6s" TargetMode="External"/><Relationship Id="rId58" Type="http://schemas.openxmlformats.org/officeDocument/2006/relationships/hyperlink" Target="https://www.youtube.com/shorts/MTWrCC1gTuU" TargetMode="External"/><Relationship Id="rId74" Type="http://schemas.openxmlformats.org/officeDocument/2006/relationships/hyperlink" Target="https://youtu.be/cmple9fw65w?si=U2DZCxFQHzfsk4O2&amp;t=9" TargetMode="External"/><Relationship Id="rId79" Type="http://schemas.openxmlformats.org/officeDocument/2006/relationships/hyperlink" Target="https://youtu.be/cmple9fw65w?si=U2DZCxFQHzfsk4O2&amp;t=9" TargetMode="External"/><Relationship Id="rId5" Type="http://schemas.openxmlformats.org/officeDocument/2006/relationships/hyperlink" Target="https://youtu.be/Ocg8wyTciVc?si=LWyXVbYtDjva6wt2" TargetMode="External"/><Relationship Id="rId90" Type="http://schemas.openxmlformats.org/officeDocument/2006/relationships/hyperlink" Target="https://youtu.be/IjDmaCdUH0g?si=4bUDoax4RMNSfoMG" TargetMode="External"/><Relationship Id="rId95" Type="http://schemas.openxmlformats.org/officeDocument/2006/relationships/hyperlink" Target="https://youtu.be/IjDmaCdUH0g?si=4bUDoax4RMNSfoMG" TargetMode="External"/><Relationship Id="rId22" Type="http://schemas.openxmlformats.org/officeDocument/2006/relationships/hyperlink" Target="https://www.youtube.com/watch?v=5QFjmotLfW4" TargetMode="External"/><Relationship Id="rId27" Type="http://schemas.openxmlformats.org/officeDocument/2006/relationships/hyperlink" Target="https://www.youtube.com/watch?v=uyjuoFbFQVg" TargetMode="External"/><Relationship Id="rId43" Type="http://schemas.openxmlformats.org/officeDocument/2006/relationships/hyperlink" Target="https://www.youtube.com/watch?app=desktop&amp;si=LWyXVbYtDjva6wt2&amp;v=Ocg8wyTciVc&amp;feature=youtu.be&amp;ab_channel=BodY-ProoFCalisthenics" TargetMode="External"/><Relationship Id="rId48" Type="http://schemas.openxmlformats.org/officeDocument/2006/relationships/hyperlink" Target="https://www.youtube.com/shorts/ZP72SmuKOuE" TargetMode="External"/><Relationship Id="rId64" Type="http://schemas.openxmlformats.org/officeDocument/2006/relationships/hyperlink" Target="https://www.youtube.com/shorts/6XNm_X-B-tE" TargetMode="External"/><Relationship Id="rId69" Type="http://schemas.openxmlformats.org/officeDocument/2006/relationships/hyperlink" Target="https://www.youtube.com/watch?v=C_VtOYc6j5c" TargetMode="External"/><Relationship Id="rId80" Type="http://schemas.openxmlformats.org/officeDocument/2006/relationships/hyperlink" Target="https://youtu.be/cmple9fw65w?si=U2DZCxFQHzfsk4O2&amp;t=9" TargetMode="External"/><Relationship Id="rId85" Type="http://schemas.openxmlformats.org/officeDocument/2006/relationships/hyperlink" Target="https://youtu.be/IjDmaCdUH0g?si=4bUDoax4RMNSfoMG" TargetMode="External"/><Relationship Id="rId3" Type="http://schemas.openxmlformats.org/officeDocument/2006/relationships/hyperlink" Target="https://www.youtube.com/watch?v=5QFjmotLfW4" TargetMode="External"/><Relationship Id="rId12" Type="http://schemas.openxmlformats.org/officeDocument/2006/relationships/hyperlink" Target="https://www.youtube.com/shorts/MTWrCC1gTuU" TargetMode="External"/><Relationship Id="rId17" Type="http://schemas.openxmlformats.org/officeDocument/2006/relationships/hyperlink" Target="https://www.youtube.com/watch?v=bHO0A4ZF_Zg" TargetMode="External"/><Relationship Id="rId25" Type="http://schemas.openxmlformats.org/officeDocument/2006/relationships/hyperlink" Target="https://www.youtube.com/watch?v=uyjuoFbFQVg" TargetMode="External"/><Relationship Id="rId33" Type="http://schemas.openxmlformats.org/officeDocument/2006/relationships/hyperlink" Target="https://www.youtube.com/watch?v=B5WBpQ6jrlw" TargetMode="External"/><Relationship Id="rId38" Type="http://schemas.openxmlformats.org/officeDocument/2006/relationships/hyperlink" Target="https://www.youtube.com/watch?v=uyjuoFbFQVg" TargetMode="External"/><Relationship Id="rId46" Type="http://schemas.openxmlformats.org/officeDocument/2006/relationships/hyperlink" Target="https://www.youtube.com/shorts/ZP72SmuKOuE" TargetMode="External"/><Relationship Id="rId59" Type="http://schemas.openxmlformats.org/officeDocument/2006/relationships/hyperlink" Target="https://www.youtube.com/watch?v=bHO0A4ZF_Zg" TargetMode="External"/><Relationship Id="rId67" Type="http://schemas.openxmlformats.org/officeDocument/2006/relationships/hyperlink" Target="https://www.youtube.com/watch?v=C_VtOYc6j5c" TargetMode="External"/><Relationship Id="rId20" Type="http://schemas.openxmlformats.org/officeDocument/2006/relationships/hyperlink" Target="https://www.youtube.com/shorts/MTWrCC1gTuU" TargetMode="External"/><Relationship Id="rId41" Type="http://schemas.openxmlformats.org/officeDocument/2006/relationships/hyperlink" Target="https://www.youtube.com/watch?app=desktop&amp;si=LWyXVbYtDjva6wt2&amp;v=Ocg8wyTciVc&amp;feature=youtu.be&amp;ab_channel=BodY-ProoFCalisthenics" TargetMode="External"/><Relationship Id="rId54" Type="http://schemas.openxmlformats.org/officeDocument/2006/relationships/hyperlink" Target="https://www.youtube.com/watch?v=k3KHgLvo4uI&amp;t=6s" TargetMode="External"/><Relationship Id="rId62" Type="http://schemas.openxmlformats.org/officeDocument/2006/relationships/hyperlink" Target="https://www.youtube.com/shorts/mPg5_2oCrZE" TargetMode="External"/><Relationship Id="rId70" Type="http://schemas.openxmlformats.org/officeDocument/2006/relationships/hyperlink" Target="https://www.youtube.com/watch?v=C_VtOYc6j5c" TargetMode="External"/><Relationship Id="rId75" Type="http://schemas.openxmlformats.org/officeDocument/2006/relationships/hyperlink" Target="https://youtu.be/cmple9fw65w?si=U2DZCxFQHzfsk4O2&amp;t=9" TargetMode="External"/><Relationship Id="rId83" Type="http://schemas.openxmlformats.org/officeDocument/2006/relationships/hyperlink" Target="https://youtu.be/cmple9fw65w?si=U2DZCxFQHzfsk4O2&amp;t=9" TargetMode="External"/><Relationship Id="rId88" Type="http://schemas.openxmlformats.org/officeDocument/2006/relationships/hyperlink" Target="https://youtu.be/IjDmaCdUH0g?si=4bUDoax4RMNSfoMG" TargetMode="External"/><Relationship Id="rId91" Type="http://schemas.openxmlformats.org/officeDocument/2006/relationships/hyperlink" Target="https://youtu.be/IjDmaCdUH0g?si=4bUDoax4RMNSfoMG" TargetMode="External"/><Relationship Id="rId96" Type="http://schemas.openxmlformats.org/officeDocument/2006/relationships/hyperlink" Target="https://youtu.be/IjDmaCdUH0g?si=4bUDoax4RMNSfoMG" TargetMode="External"/><Relationship Id="rId1" Type="http://schemas.openxmlformats.org/officeDocument/2006/relationships/hyperlink" Target="https://www.youtube.com/watch?v=5QFjmotLfW4" TargetMode="External"/><Relationship Id="rId6" Type="http://schemas.openxmlformats.org/officeDocument/2006/relationships/hyperlink" Target="https://youtu.be/P8s_LRBp9lo?si=QBLEW04PU1y7BT-J" TargetMode="External"/><Relationship Id="rId15" Type="http://schemas.openxmlformats.org/officeDocument/2006/relationships/hyperlink" Target="https://www.youtube.com/watch?v=5QFjmotLfW4" TargetMode="External"/><Relationship Id="rId23" Type="http://schemas.openxmlformats.org/officeDocument/2006/relationships/hyperlink" Target="https://www.youtube.com/watch?v=bHO0A4ZF_Zg" TargetMode="External"/><Relationship Id="rId28" Type="http://schemas.openxmlformats.org/officeDocument/2006/relationships/hyperlink" Target="https://www.youtube.com/watch?v=uyjuoFbFQVg" TargetMode="External"/><Relationship Id="rId36" Type="http://schemas.openxmlformats.org/officeDocument/2006/relationships/hyperlink" Target="https://www.youtube.com/watch?v=5QFjmotLfW4" TargetMode="External"/><Relationship Id="rId49" Type="http://schemas.openxmlformats.org/officeDocument/2006/relationships/hyperlink" Target="https://www.youtube.com/shorts/ZP72SmuKOuE" TargetMode="External"/><Relationship Id="rId57" Type="http://schemas.openxmlformats.org/officeDocument/2006/relationships/hyperlink" Target="https://www.youtube.com/watch?v=5QFjmotLfW4" TargetMode="External"/><Relationship Id="rId10" Type="http://schemas.openxmlformats.org/officeDocument/2006/relationships/hyperlink" Target="https://www.youtube.com/watch?v=bHO0A4ZF_Zg" TargetMode="External"/><Relationship Id="rId31" Type="http://schemas.openxmlformats.org/officeDocument/2006/relationships/hyperlink" Target="https://www.youtube.com/watch?v=B5WBpQ6jrlw" TargetMode="External"/><Relationship Id="rId44" Type="http://schemas.openxmlformats.org/officeDocument/2006/relationships/hyperlink" Target="https://www.youtube.com/shorts/ZP72SmuKOuE" TargetMode="External"/><Relationship Id="rId52" Type="http://schemas.openxmlformats.org/officeDocument/2006/relationships/hyperlink" Target="https://www.youtube.com/watch?v=k3KHgLvo4uI&amp;t=6s" TargetMode="External"/><Relationship Id="rId60" Type="http://schemas.openxmlformats.org/officeDocument/2006/relationships/hyperlink" Target="https://www.youtube.com/watch?v=B5WBpQ6jrlw" TargetMode="External"/><Relationship Id="rId65" Type="http://schemas.openxmlformats.org/officeDocument/2006/relationships/hyperlink" Target="https://youtu.be/P8s_LRBp9lo?si=QBLEW04PU1y7BT-J" TargetMode="External"/><Relationship Id="rId73" Type="http://schemas.openxmlformats.org/officeDocument/2006/relationships/hyperlink" Target="https://youtu.be/cmple9fw65w?si=U2DZCxFQHzfsk4O2&amp;t=9" TargetMode="External"/><Relationship Id="rId78" Type="http://schemas.openxmlformats.org/officeDocument/2006/relationships/hyperlink" Target="https://youtu.be/cmple9fw65w?si=U2DZCxFQHzfsk4O2&amp;t=9" TargetMode="External"/><Relationship Id="rId81" Type="http://schemas.openxmlformats.org/officeDocument/2006/relationships/hyperlink" Target="https://youtu.be/cmple9fw65w?si=U2DZCxFQHzfsk4O2&amp;t=9" TargetMode="External"/><Relationship Id="rId86" Type="http://schemas.openxmlformats.org/officeDocument/2006/relationships/hyperlink" Target="https://youtu.be/IjDmaCdUH0g?si=4bUDoax4RMNSfoMG" TargetMode="External"/><Relationship Id="rId94" Type="http://schemas.openxmlformats.org/officeDocument/2006/relationships/hyperlink" Target="https://youtu.be/IjDmaCdUH0g?si=4bUDoax4RMNSfoMG" TargetMode="External"/><Relationship Id="rId4" Type="http://schemas.openxmlformats.org/officeDocument/2006/relationships/hyperlink" Target="https://www.youtube.com/watch?v=bHO0A4ZF_Zg" TargetMode="External"/><Relationship Id="rId9" Type="http://schemas.openxmlformats.org/officeDocument/2006/relationships/hyperlink" Target="https://www.youtube.com/watch?app=desktop&amp;si=LWyXVbYtDjva6wt2&amp;v=Ocg8wyTciVc&amp;feature=youtu.be&amp;ab_channel=BodY-ProoFCalisthenics" TargetMode="External"/><Relationship Id="rId13" Type="http://schemas.openxmlformats.org/officeDocument/2006/relationships/hyperlink" Target="https://www.youtube.com/watch?v=bHO0A4ZF_Zg" TargetMode="External"/><Relationship Id="rId18" Type="http://schemas.openxmlformats.org/officeDocument/2006/relationships/hyperlink" Target="https://youtu.be/P8s_LRBp9lo?si=QBLEW04PU1y7BT-J" TargetMode="External"/><Relationship Id="rId39" Type="http://schemas.openxmlformats.org/officeDocument/2006/relationships/hyperlink" Target="https://www.youtube.com/watch?v=B5WBpQ6jrlw" TargetMode="External"/><Relationship Id="rId34" Type="http://schemas.openxmlformats.org/officeDocument/2006/relationships/hyperlink" Target="https://www.youtube.com/shorts/MTWrCC1gTuU" TargetMode="External"/><Relationship Id="rId50" Type="http://schemas.openxmlformats.org/officeDocument/2006/relationships/hyperlink" Target="https://www.youtube.com/watch?v=k3KHgLvo4uI&amp;t=6s" TargetMode="External"/><Relationship Id="rId55" Type="http://schemas.openxmlformats.org/officeDocument/2006/relationships/hyperlink" Target="https://www.youtube.com/watch?v=k3KHgLvo4uI&amp;t=6s" TargetMode="External"/><Relationship Id="rId76" Type="http://schemas.openxmlformats.org/officeDocument/2006/relationships/hyperlink" Target="https://youtu.be/cmple9fw65w?si=U2DZCxFQHzfsk4O2&amp;t=9" TargetMode="External"/><Relationship Id="rId97" Type="http://schemas.openxmlformats.org/officeDocument/2006/relationships/printerSettings" Target="../printerSettings/printerSettings4.bin"/><Relationship Id="rId7" Type="http://schemas.openxmlformats.org/officeDocument/2006/relationships/hyperlink" Target="https://youtu.be/P8s_LRBp9lo?si=QBLEW04PU1y7BT-J" TargetMode="External"/><Relationship Id="rId71" Type="http://schemas.openxmlformats.org/officeDocument/2006/relationships/hyperlink" Target="https://www.youtube.com/watch?v=C_VtOYc6j5c" TargetMode="External"/><Relationship Id="rId92" Type="http://schemas.openxmlformats.org/officeDocument/2006/relationships/hyperlink" Target="https://youtu.be/IjDmaCdUH0g?si=4bUDoax4RMNSfoMG" TargetMode="External"/><Relationship Id="rId2" Type="http://schemas.openxmlformats.org/officeDocument/2006/relationships/hyperlink" Target="https://www.youtube.com/shorts/MTWrCC1gTuU" TargetMode="External"/><Relationship Id="rId29" Type="http://schemas.openxmlformats.org/officeDocument/2006/relationships/hyperlink" Target="https://www.youtube.com/watch?v=B5WBpQ6jrlw" TargetMode="External"/><Relationship Id="rId24" Type="http://schemas.openxmlformats.org/officeDocument/2006/relationships/hyperlink" Target="https://www.youtube.com/watch?v=uyjuoFbFQVg" TargetMode="External"/><Relationship Id="rId40" Type="http://schemas.openxmlformats.org/officeDocument/2006/relationships/hyperlink" Target="https://www.youtube.com/watch?app=desktop&amp;si=LWyXVbYtDjva6wt2&amp;v=Ocg8wyTciVc&amp;feature=youtu.be&amp;ab_channel=BodY-ProoFCalisthenics" TargetMode="External"/><Relationship Id="rId45" Type="http://schemas.openxmlformats.org/officeDocument/2006/relationships/hyperlink" Target="https://www.youtube.com/shorts/ZP72SmuKOuE" TargetMode="External"/><Relationship Id="rId66" Type="http://schemas.openxmlformats.org/officeDocument/2006/relationships/hyperlink" Target="https://www.youtube.com/watch?v=C_VtOYc6j5c" TargetMode="External"/><Relationship Id="rId87" Type="http://schemas.openxmlformats.org/officeDocument/2006/relationships/hyperlink" Target="https://youtu.be/IjDmaCdUH0g?si=4bUDoax4RMNSfoMG" TargetMode="External"/><Relationship Id="rId61" Type="http://schemas.openxmlformats.org/officeDocument/2006/relationships/hyperlink" Target="https://www.youtube.com/watch?v=uyjuoFbFQVg" TargetMode="External"/><Relationship Id="rId82" Type="http://schemas.openxmlformats.org/officeDocument/2006/relationships/hyperlink" Target="https://youtu.be/cmple9fw65w?si=U2DZCxFQHzfsk4O2&amp;t=9" TargetMode="External"/><Relationship Id="rId19" Type="http://schemas.openxmlformats.org/officeDocument/2006/relationships/hyperlink" Target="https://www.youtube.com/watch?v=5QFjmotLfW4" TargetMode="External"/><Relationship Id="rId14" Type="http://schemas.openxmlformats.org/officeDocument/2006/relationships/hyperlink" Target="https://youtu.be/P8s_LRBp9lo?si=QBLEW04PU1y7BT-J" TargetMode="External"/><Relationship Id="rId30" Type="http://schemas.openxmlformats.org/officeDocument/2006/relationships/hyperlink" Target="https://www.youtube.com/watch?v=B5WBpQ6jrlw" TargetMode="External"/><Relationship Id="rId35" Type="http://schemas.openxmlformats.org/officeDocument/2006/relationships/hyperlink" Target="https://youtu.be/P8s_LRBp9lo?si=QBLEW04PU1y7BT-J" TargetMode="External"/><Relationship Id="rId56" Type="http://schemas.openxmlformats.org/officeDocument/2006/relationships/hyperlink" Target="https://www.youtube.com/watch?v=k3KHgLvo4uI&amp;t=6s" TargetMode="External"/><Relationship Id="rId77" Type="http://schemas.openxmlformats.org/officeDocument/2006/relationships/hyperlink" Target="https://youtu.be/cmple9fw65w?si=U2DZCxFQHzfsk4O2&amp;t=9" TargetMode="External"/><Relationship Id="rId8" Type="http://schemas.openxmlformats.org/officeDocument/2006/relationships/hyperlink" Target="https://www.youtube.com/shorts/MTWrCC1gTuU" TargetMode="External"/><Relationship Id="rId51" Type="http://schemas.openxmlformats.org/officeDocument/2006/relationships/hyperlink" Target="https://www.youtube.com/watch?v=k3KHgLvo4uI&amp;t=6s" TargetMode="External"/><Relationship Id="rId72" Type="http://schemas.openxmlformats.org/officeDocument/2006/relationships/hyperlink" Target="https://www.youtube.com/watch?v=C_VtOYc6j5c" TargetMode="External"/><Relationship Id="rId93" Type="http://schemas.openxmlformats.org/officeDocument/2006/relationships/hyperlink" Target="https://youtu.be/IjDmaCdUH0g?si=4bUDoax4RMNSfoMG" TargetMode="External"/><Relationship Id="rId98"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youtube.com/watch?v=uyjuoFbFQVg" TargetMode="External"/><Relationship Id="rId21" Type="http://schemas.openxmlformats.org/officeDocument/2006/relationships/hyperlink" Target="https://www.youtube.com/watch?app=desktop&amp;si=LWyXVbYtDjva6wt2&amp;v=Ocg8wyTciVc&amp;feature=youtu.be&amp;ab_channel=BodY-ProoFCalisthenics" TargetMode="External"/><Relationship Id="rId42" Type="http://schemas.openxmlformats.org/officeDocument/2006/relationships/hyperlink" Target="https://youtu.be/Ocg8wyTciVc?si=LWyXVbYtDjva6wt2" TargetMode="External"/><Relationship Id="rId63" Type="http://schemas.openxmlformats.org/officeDocument/2006/relationships/hyperlink" Target="https://www.youtube.com/watch?v=bHO0A4ZF_Zg" TargetMode="External"/><Relationship Id="rId84" Type="http://schemas.openxmlformats.org/officeDocument/2006/relationships/hyperlink" Target="https://www.youtube.com/watch?v=k3KHgLvo4uI&amp;t=6s" TargetMode="External"/><Relationship Id="rId138" Type="http://schemas.openxmlformats.org/officeDocument/2006/relationships/hyperlink" Target="https://youtu.be/cmple9fw65w?si=U2DZCxFQHzfsk4O2&amp;t=9" TargetMode="External"/><Relationship Id="rId159" Type="http://schemas.openxmlformats.org/officeDocument/2006/relationships/printerSettings" Target="../printerSettings/printerSettings5.bin"/><Relationship Id="rId107" Type="http://schemas.openxmlformats.org/officeDocument/2006/relationships/hyperlink" Target="https://www.youtube.com/shorts/6XNm_X-B-tE" TargetMode="External"/><Relationship Id="rId11" Type="http://schemas.openxmlformats.org/officeDocument/2006/relationships/hyperlink" Target="https://www.youtube.com/shorts/qPXgrgUrIsg" TargetMode="External"/><Relationship Id="rId32" Type="http://schemas.openxmlformats.org/officeDocument/2006/relationships/hyperlink" Target="https://www.youtube.com/shorts/ZP72SmuKOuE" TargetMode="External"/><Relationship Id="rId53" Type="http://schemas.openxmlformats.org/officeDocument/2006/relationships/hyperlink" Target="https://www.youtube.com/shorts/6XNm_X-B-tE" TargetMode="External"/><Relationship Id="rId74" Type="http://schemas.openxmlformats.org/officeDocument/2006/relationships/hyperlink" Target="https://www.youtube.com/watch?v=Me9bHFAxnCs" TargetMode="External"/><Relationship Id="rId128" Type="http://schemas.openxmlformats.org/officeDocument/2006/relationships/hyperlink" Target="https://youtu.be/cmple9fw65w?si=U2DZCxFQHzfsk4O2&amp;t=9" TargetMode="External"/><Relationship Id="rId149" Type="http://schemas.openxmlformats.org/officeDocument/2006/relationships/hyperlink" Target="https://youtu.be/IjDmaCdUH0g?si=4bUDoax4RMNSfoMG" TargetMode="External"/><Relationship Id="rId5" Type="http://schemas.openxmlformats.org/officeDocument/2006/relationships/hyperlink" Target="https://www.youtube.com/watch?v=5QFjmotLfW4" TargetMode="External"/><Relationship Id="rId95" Type="http://schemas.openxmlformats.org/officeDocument/2006/relationships/hyperlink" Target="https://youtu.be/Ocg8wyTciVc?si=LWyXVbYtDjva6wt2" TargetMode="External"/><Relationship Id="rId160" Type="http://schemas.openxmlformats.org/officeDocument/2006/relationships/drawing" Target="../drawings/drawing7.xml"/><Relationship Id="rId22" Type="http://schemas.openxmlformats.org/officeDocument/2006/relationships/hyperlink" Target="https://hips.hearstapps.com/hmg-prod/images/workouts/2016/08/supermanw-1472154493.gif?crop=1xw:1xh;center,top&amp;resize=640:*" TargetMode="External"/><Relationship Id="rId43" Type="http://schemas.openxmlformats.org/officeDocument/2006/relationships/hyperlink" Target="https://www.youtube.com/watch?v=bHO0A4ZF_Zg" TargetMode="External"/><Relationship Id="rId64" Type="http://schemas.openxmlformats.org/officeDocument/2006/relationships/hyperlink" Target="https://www.youtube.com/watch?v=uyjuoFbFQVg" TargetMode="External"/><Relationship Id="rId118" Type="http://schemas.openxmlformats.org/officeDocument/2006/relationships/hyperlink" Target="https://www.youtube.com/shorts/qPXgrgUrIsg" TargetMode="External"/><Relationship Id="rId139" Type="http://schemas.openxmlformats.org/officeDocument/2006/relationships/hyperlink" Target="https://youtu.be/cmple9fw65w?si=U2DZCxFQHzfsk4O2&amp;t=9" TargetMode="External"/><Relationship Id="rId80" Type="http://schemas.openxmlformats.org/officeDocument/2006/relationships/hyperlink" Target="https://hips.hearstapps.com/hmg-prod/images/workouts/2016/08/supermanw-1472154493.gif?crop=1xw:1xh;center,top&amp;resize=640:*" TargetMode="External"/><Relationship Id="rId85" Type="http://schemas.openxmlformats.org/officeDocument/2006/relationships/hyperlink" Target="https://www.youtube.com/shorts/ZP72SmuKOuE" TargetMode="External"/><Relationship Id="rId150" Type="http://schemas.openxmlformats.org/officeDocument/2006/relationships/hyperlink" Target="https://youtu.be/IjDmaCdUH0g?si=4bUDoax4RMNSfoMG" TargetMode="External"/><Relationship Id="rId155" Type="http://schemas.openxmlformats.org/officeDocument/2006/relationships/hyperlink" Target="https://youtu.be/IjDmaCdUH0g?si=4bUDoax4RMNSfoMG" TargetMode="External"/><Relationship Id="rId12" Type="http://schemas.openxmlformats.org/officeDocument/2006/relationships/hyperlink" Target="https://www.youtube.com/shorts/6XNm_X-B-tE" TargetMode="External"/><Relationship Id="rId17" Type="http://schemas.openxmlformats.org/officeDocument/2006/relationships/hyperlink" Target="https://www.youtube.com/watch?v=Me9bHFAxnCs" TargetMode="External"/><Relationship Id="rId33" Type="http://schemas.openxmlformats.org/officeDocument/2006/relationships/hyperlink" Target="https://www.youtube.com/watch?v=J6Y520KkwOA" TargetMode="External"/><Relationship Id="rId38" Type="http://schemas.openxmlformats.org/officeDocument/2006/relationships/hyperlink" Target="https://www.youtube.com/shorts/MTWrCC1gTuU" TargetMode="External"/><Relationship Id="rId59" Type="http://schemas.openxmlformats.org/officeDocument/2006/relationships/hyperlink" Target="https://www.youtube.com/shorts/eeJ_CYqSoT4" TargetMode="External"/><Relationship Id="rId103" Type="http://schemas.openxmlformats.org/officeDocument/2006/relationships/hyperlink" Target="https://www.youtube.com/watch?v=k3KHgLvo4uI&amp;t=6s" TargetMode="External"/><Relationship Id="rId108" Type="http://schemas.openxmlformats.org/officeDocument/2006/relationships/hyperlink" Target="https://www.youtube.com/watch?v=Me9bHFAxnCs" TargetMode="External"/><Relationship Id="rId124" Type="http://schemas.openxmlformats.org/officeDocument/2006/relationships/hyperlink" Target="https://www.youtube.com/shorts/6XNm_X-B-tE" TargetMode="External"/><Relationship Id="rId129" Type="http://schemas.openxmlformats.org/officeDocument/2006/relationships/hyperlink" Target="https://youtu.be/cmple9fw65w?si=U2DZCxFQHzfsk4O2&amp;t=9" TargetMode="External"/><Relationship Id="rId54" Type="http://schemas.openxmlformats.org/officeDocument/2006/relationships/hyperlink" Target="https://www.youtube.com/watch?v=Me9bHFAxnCs" TargetMode="External"/><Relationship Id="rId70" Type="http://schemas.openxmlformats.org/officeDocument/2006/relationships/hyperlink" Target="https://www.youtube.com/shorts/mPg5_2oCrZE" TargetMode="External"/><Relationship Id="rId75" Type="http://schemas.openxmlformats.org/officeDocument/2006/relationships/hyperlink" Target="https://www.youtube.com/watch?v=-5k_K6xcgCk" TargetMode="External"/><Relationship Id="rId91" Type="http://schemas.openxmlformats.org/officeDocument/2006/relationships/hyperlink" Target="https://www.youtube.com/shorts/MTWrCC1gTuU" TargetMode="External"/><Relationship Id="rId96" Type="http://schemas.openxmlformats.org/officeDocument/2006/relationships/hyperlink" Target="https://youtu.be/Ocg8wyTciVc?si=LWyXVbYtDjva6wt2" TargetMode="External"/><Relationship Id="rId140" Type="http://schemas.openxmlformats.org/officeDocument/2006/relationships/hyperlink" Target="https://youtu.be/cmple9fw65w?si=U2DZCxFQHzfsk4O2&amp;t=9" TargetMode="External"/><Relationship Id="rId145" Type="http://schemas.openxmlformats.org/officeDocument/2006/relationships/hyperlink" Target="https://youtu.be/IjDmaCdUH0g?si=4bUDoax4RMNSfoMG" TargetMode="External"/><Relationship Id="rId1" Type="http://schemas.openxmlformats.org/officeDocument/2006/relationships/hyperlink" Target="https://www.youtube.com/shorts/ZP72SmuKOuE" TargetMode="External"/><Relationship Id="rId6" Type="http://schemas.openxmlformats.org/officeDocument/2006/relationships/hyperlink" Target="https://www.youtube.com/shorts/MTWrCC1gTuU" TargetMode="External"/><Relationship Id="rId23" Type="http://schemas.openxmlformats.org/officeDocument/2006/relationships/hyperlink" Target="https://www.youtube.com/shorts/eeJ_CYqSoT4" TargetMode="External"/><Relationship Id="rId28" Type="http://schemas.openxmlformats.org/officeDocument/2006/relationships/hyperlink" Target="https://www.youtube.com/watch?v=uyjuoFbFQVg" TargetMode="External"/><Relationship Id="rId49" Type="http://schemas.openxmlformats.org/officeDocument/2006/relationships/hyperlink" Target="https://www.youtube.com/watch?v=k3KHgLvo4uI&amp;t=6s" TargetMode="External"/><Relationship Id="rId114" Type="http://schemas.openxmlformats.org/officeDocument/2006/relationships/hyperlink" Target="https://hips.hearstapps.com/hmg-prod/images/workouts/2016/08/supermanw-1472154493.gif?crop=1xw:1xh;center,top&amp;resize=640:*" TargetMode="External"/><Relationship Id="rId119" Type="http://schemas.openxmlformats.org/officeDocument/2006/relationships/hyperlink" Target="https://www.youtube.com/watch?v=k3KHgLvo4uI&amp;t=6s" TargetMode="External"/><Relationship Id="rId44" Type="http://schemas.openxmlformats.org/officeDocument/2006/relationships/hyperlink" Target="https://youtu.be/P8s_LRBp9lo?si=QBLEW04PU1y7BT-J" TargetMode="External"/><Relationship Id="rId60" Type="http://schemas.openxmlformats.org/officeDocument/2006/relationships/hyperlink" Target="https://youtu.be/Ocg8wyTciVc?si=LWyXVbYtDjva6wt2" TargetMode="External"/><Relationship Id="rId65" Type="http://schemas.openxmlformats.org/officeDocument/2006/relationships/hyperlink" Target="https://www.youtube.com/shorts/qPXgrgUrIsg" TargetMode="External"/><Relationship Id="rId81" Type="http://schemas.openxmlformats.org/officeDocument/2006/relationships/hyperlink" Target="https://www.youtube.com/watch?v=uyjuoFbFQVg" TargetMode="External"/><Relationship Id="rId86" Type="http://schemas.openxmlformats.org/officeDocument/2006/relationships/hyperlink" Target="https://www.youtube.com/watch?v=J6Y520KkwOA" TargetMode="External"/><Relationship Id="rId130" Type="http://schemas.openxmlformats.org/officeDocument/2006/relationships/hyperlink" Target="https://youtu.be/cmple9fw65w?si=U2DZCxFQHzfsk4O2&amp;t=9" TargetMode="External"/><Relationship Id="rId135" Type="http://schemas.openxmlformats.org/officeDocument/2006/relationships/hyperlink" Target="https://youtu.be/cmple9fw65w?si=U2DZCxFQHzfsk4O2&amp;t=9" TargetMode="External"/><Relationship Id="rId151" Type="http://schemas.openxmlformats.org/officeDocument/2006/relationships/hyperlink" Target="https://youtu.be/IjDmaCdUH0g?si=4bUDoax4RMNSfoMG" TargetMode="External"/><Relationship Id="rId156" Type="http://schemas.openxmlformats.org/officeDocument/2006/relationships/hyperlink" Target="https://youtu.be/IjDmaCdUH0g?si=4bUDoax4RMNSfoMG" TargetMode="External"/><Relationship Id="rId13" Type="http://schemas.openxmlformats.org/officeDocument/2006/relationships/hyperlink" Target="https://www.youtube.com/watch?v=Me9bHFAxnCs" TargetMode="External"/><Relationship Id="rId18" Type="http://schemas.openxmlformats.org/officeDocument/2006/relationships/hyperlink" Target="https://www.youtube.com/watch?v=-5k_K6xcgCk" TargetMode="External"/><Relationship Id="rId39" Type="http://schemas.openxmlformats.org/officeDocument/2006/relationships/hyperlink" Target="https://www.youtube.com/watch?v=-5k_K6xcgCk" TargetMode="External"/><Relationship Id="rId109" Type="http://schemas.openxmlformats.org/officeDocument/2006/relationships/hyperlink" Target="https://www.youtube.com/shorts/MTWrCC1gTuU" TargetMode="External"/><Relationship Id="rId34" Type="http://schemas.openxmlformats.org/officeDocument/2006/relationships/hyperlink" Target="https://www.youtube.com/shorts/mPg5_2oCrZE" TargetMode="External"/><Relationship Id="rId50" Type="http://schemas.openxmlformats.org/officeDocument/2006/relationships/hyperlink" Target="https://www.youtube.com/shorts/uODWo4YqbT8" TargetMode="External"/><Relationship Id="rId55" Type="http://schemas.openxmlformats.org/officeDocument/2006/relationships/hyperlink" Target="https://www.youtube.com/shorts/MTWrCC1gTuU" TargetMode="External"/><Relationship Id="rId76" Type="http://schemas.openxmlformats.org/officeDocument/2006/relationships/hyperlink" Target="https://www.youtube.com/watch?v=O8WGl4_aYTQ" TargetMode="External"/><Relationship Id="rId97" Type="http://schemas.openxmlformats.org/officeDocument/2006/relationships/hyperlink" Target="https://www.youtube.com/watch?v=bHO0A4ZF_Zg" TargetMode="External"/><Relationship Id="rId104" Type="http://schemas.openxmlformats.org/officeDocument/2006/relationships/hyperlink" Target="https://www.youtube.com/shorts/uODWo4YqbT8" TargetMode="External"/><Relationship Id="rId120" Type="http://schemas.openxmlformats.org/officeDocument/2006/relationships/hyperlink" Target="https://www.youtube.com/shorts/uODWo4YqbT8" TargetMode="External"/><Relationship Id="rId125" Type="http://schemas.openxmlformats.org/officeDocument/2006/relationships/hyperlink" Target="https://youtu.be/cmple9fw65w?si=U2DZCxFQHzfsk4O2&amp;t=9" TargetMode="External"/><Relationship Id="rId141" Type="http://schemas.openxmlformats.org/officeDocument/2006/relationships/hyperlink" Target="https://youtu.be/cmple9fw65w?si=U2DZCxFQHzfsk4O2&amp;t=9" TargetMode="External"/><Relationship Id="rId146" Type="http://schemas.openxmlformats.org/officeDocument/2006/relationships/hyperlink" Target="https://youtu.be/IjDmaCdUH0g?si=4bUDoax4RMNSfoMG" TargetMode="External"/><Relationship Id="rId7" Type="http://schemas.openxmlformats.org/officeDocument/2006/relationships/hyperlink" Target="https://www.youtube.com/watch?v=bHO0A4ZF_Zg" TargetMode="External"/><Relationship Id="rId71" Type="http://schemas.openxmlformats.org/officeDocument/2006/relationships/hyperlink" Target="https://www.youtube.com/shorts/6XNm_X-B-tE" TargetMode="External"/><Relationship Id="rId92" Type="http://schemas.openxmlformats.org/officeDocument/2006/relationships/hyperlink" Target="https://www.youtube.com/watch?v=-5k_K6xcgCk" TargetMode="External"/><Relationship Id="rId2" Type="http://schemas.openxmlformats.org/officeDocument/2006/relationships/hyperlink" Target="https://youtu.be/P8s_LRBp9lo?si=QBLEW04PU1y7BT-J" TargetMode="External"/><Relationship Id="rId29" Type="http://schemas.openxmlformats.org/officeDocument/2006/relationships/hyperlink" Target="https://www.youtube.com/shorts/qPXgrgUrIsg" TargetMode="External"/><Relationship Id="rId24" Type="http://schemas.openxmlformats.org/officeDocument/2006/relationships/hyperlink" Target="https://www.youtube.com/shorts/eeJ_CYqSoT4" TargetMode="External"/><Relationship Id="rId40" Type="http://schemas.openxmlformats.org/officeDocument/2006/relationships/hyperlink" Target="https://www.youtube.com/watch?v=O8WGl4_aYTQ" TargetMode="External"/><Relationship Id="rId45" Type="http://schemas.openxmlformats.org/officeDocument/2006/relationships/hyperlink" Target="https://hips.hearstapps.com/hmg-prod/images/workouts/2016/08/supermanw-1472154493.gif?crop=1xw:1xh;center,top&amp;resize=640:*" TargetMode="External"/><Relationship Id="rId66" Type="http://schemas.openxmlformats.org/officeDocument/2006/relationships/hyperlink" Target="https://www.youtube.com/watch?v=k3KHgLvo4uI&amp;t=6s" TargetMode="External"/><Relationship Id="rId87" Type="http://schemas.openxmlformats.org/officeDocument/2006/relationships/hyperlink" Target="https://www.youtube.com/shorts/mPg5_2oCrZE" TargetMode="External"/><Relationship Id="rId110" Type="http://schemas.openxmlformats.org/officeDocument/2006/relationships/hyperlink" Target="https://www.youtube.com/watch?v=5QFjmotLfW4" TargetMode="External"/><Relationship Id="rId115" Type="http://schemas.openxmlformats.org/officeDocument/2006/relationships/hyperlink" Target="https://youtu.be/P8s_LRBp9lo?si=QBLEW04PU1y7BT-J" TargetMode="External"/><Relationship Id="rId131" Type="http://schemas.openxmlformats.org/officeDocument/2006/relationships/hyperlink" Target="https://youtu.be/cmple9fw65w?si=U2DZCxFQHzfsk4O2&amp;t=9" TargetMode="External"/><Relationship Id="rId136" Type="http://schemas.openxmlformats.org/officeDocument/2006/relationships/hyperlink" Target="https://youtu.be/cmple9fw65w?si=U2DZCxFQHzfsk4O2&amp;t=9" TargetMode="External"/><Relationship Id="rId157" Type="http://schemas.openxmlformats.org/officeDocument/2006/relationships/hyperlink" Target="https://youtu.be/IjDmaCdUH0g?si=4bUDoax4RMNSfoMG" TargetMode="External"/><Relationship Id="rId61" Type="http://schemas.openxmlformats.org/officeDocument/2006/relationships/hyperlink" Target="https://hips.hearstapps.com/hmg-prod/images/workouts/2016/08/supermanw-1472154493.gif?crop=1xw:1xh;center,top&amp;resize=640:*" TargetMode="External"/><Relationship Id="rId82" Type="http://schemas.openxmlformats.org/officeDocument/2006/relationships/hyperlink" Target="https://www.youtube.com/shorts/qPXgrgUrIsg" TargetMode="External"/><Relationship Id="rId152" Type="http://schemas.openxmlformats.org/officeDocument/2006/relationships/hyperlink" Target="https://youtu.be/IjDmaCdUH0g?si=4bUDoax4RMNSfoMG" TargetMode="External"/><Relationship Id="rId19" Type="http://schemas.openxmlformats.org/officeDocument/2006/relationships/hyperlink" Target="https://www.youtube.com/watch?v=-5k_K6xcgCk" TargetMode="External"/><Relationship Id="rId14" Type="http://schemas.openxmlformats.org/officeDocument/2006/relationships/hyperlink" Target="https://www.youtube.com/watch?v=J6Y520KkwOA" TargetMode="External"/><Relationship Id="rId30" Type="http://schemas.openxmlformats.org/officeDocument/2006/relationships/hyperlink" Target="https://www.youtube.com/shorts/uODWo4YqbT8" TargetMode="External"/><Relationship Id="rId35" Type="http://schemas.openxmlformats.org/officeDocument/2006/relationships/hyperlink" Target="https://www.youtube.com/shorts/6XNm_X-B-tE" TargetMode="External"/><Relationship Id="rId56" Type="http://schemas.openxmlformats.org/officeDocument/2006/relationships/hyperlink" Target="https://www.youtube.com/watch?v=5QFjmotLfW4" TargetMode="External"/><Relationship Id="rId77" Type="http://schemas.openxmlformats.org/officeDocument/2006/relationships/hyperlink" Target="https://www.youtube.com/shorts/eeJ_CYqSoT4" TargetMode="External"/><Relationship Id="rId100" Type="http://schemas.openxmlformats.org/officeDocument/2006/relationships/hyperlink" Target="https://www.youtube.com/watch?v=uyjuoFbFQVg" TargetMode="External"/><Relationship Id="rId105" Type="http://schemas.openxmlformats.org/officeDocument/2006/relationships/hyperlink" Target="https://www.youtube.com/watch?v=J6Y520KkwOA" TargetMode="External"/><Relationship Id="rId126" Type="http://schemas.openxmlformats.org/officeDocument/2006/relationships/hyperlink" Target="https://youtu.be/cmple9fw65w?si=U2DZCxFQHzfsk4O2&amp;t=9" TargetMode="External"/><Relationship Id="rId147" Type="http://schemas.openxmlformats.org/officeDocument/2006/relationships/hyperlink" Target="https://youtu.be/IjDmaCdUH0g?si=4bUDoax4RMNSfoMG" TargetMode="External"/><Relationship Id="rId8" Type="http://schemas.openxmlformats.org/officeDocument/2006/relationships/hyperlink" Target="https://www.youtube.com/watch?v=O8WGl4_aYTQ" TargetMode="External"/><Relationship Id="rId51" Type="http://schemas.openxmlformats.org/officeDocument/2006/relationships/hyperlink" Target="https://www.youtube.com/watch?v=J6Y520KkwOA" TargetMode="External"/><Relationship Id="rId72" Type="http://schemas.openxmlformats.org/officeDocument/2006/relationships/hyperlink" Target="https://www.youtube.com/shorts/MTWrCC1gTuU" TargetMode="External"/><Relationship Id="rId93" Type="http://schemas.openxmlformats.org/officeDocument/2006/relationships/hyperlink" Target="https://www.youtube.com/watch?v=O8WGl4_aYTQ" TargetMode="External"/><Relationship Id="rId98" Type="http://schemas.openxmlformats.org/officeDocument/2006/relationships/hyperlink" Target="https://youtu.be/P8s_LRBp9lo?si=QBLEW04PU1y7BT-J" TargetMode="External"/><Relationship Id="rId121" Type="http://schemas.openxmlformats.org/officeDocument/2006/relationships/hyperlink" Target="https://www.youtube.com/shorts/ZP72SmuKOuE" TargetMode="External"/><Relationship Id="rId142" Type="http://schemas.openxmlformats.org/officeDocument/2006/relationships/hyperlink" Target="https://youtu.be/IjDmaCdUH0g?si=4bUDoax4RMNSfoMG" TargetMode="External"/><Relationship Id="rId3" Type="http://schemas.openxmlformats.org/officeDocument/2006/relationships/hyperlink" Target="https://www.youtube.com/watch?v=k3KHgLvo4uI&amp;t=6s" TargetMode="External"/><Relationship Id="rId25" Type="http://schemas.openxmlformats.org/officeDocument/2006/relationships/hyperlink" Target="https://youtu.be/P8s_LRBp9lo?si=QBLEW04PU1y7BT-J" TargetMode="External"/><Relationship Id="rId46" Type="http://schemas.openxmlformats.org/officeDocument/2006/relationships/hyperlink" Target="https://www.youtube.com/watch?v=uyjuoFbFQVg" TargetMode="External"/><Relationship Id="rId67" Type="http://schemas.openxmlformats.org/officeDocument/2006/relationships/hyperlink" Target="https://www.youtube.com/shorts/uODWo4YqbT8" TargetMode="External"/><Relationship Id="rId116" Type="http://schemas.openxmlformats.org/officeDocument/2006/relationships/hyperlink" Target="https://www.youtube.com/watch?v=bHO0A4ZF_Zg" TargetMode="External"/><Relationship Id="rId137" Type="http://schemas.openxmlformats.org/officeDocument/2006/relationships/hyperlink" Target="https://youtu.be/cmple9fw65w?si=U2DZCxFQHzfsk4O2&amp;t=9" TargetMode="External"/><Relationship Id="rId158" Type="http://schemas.openxmlformats.org/officeDocument/2006/relationships/hyperlink" Target="https://youtu.be/IjDmaCdUH0g?si=4bUDoax4RMNSfoMG" TargetMode="External"/><Relationship Id="rId20" Type="http://schemas.openxmlformats.org/officeDocument/2006/relationships/hyperlink" Target="https://www.youtube.com/watch?v=O8WGl4_aYTQ" TargetMode="External"/><Relationship Id="rId41" Type="http://schemas.openxmlformats.org/officeDocument/2006/relationships/hyperlink" Target="https://www.youtube.com/shorts/eeJ_CYqSoT4" TargetMode="External"/><Relationship Id="rId62" Type="http://schemas.openxmlformats.org/officeDocument/2006/relationships/hyperlink" Target="https://youtu.be/P8s_LRBp9lo?si=QBLEW04PU1y7BT-J" TargetMode="External"/><Relationship Id="rId83" Type="http://schemas.openxmlformats.org/officeDocument/2006/relationships/hyperlink" Target="https://www.youtube.com/shorts/uODWo4YqbT8" TargetMode="External"/><Relationship Id="rId88" Type="http://schemas.openxmlformats.org/officeDocument/2006/relationships/hyperlink" Target="https://www.youtube.com/shorts/6XNm_X-B-tE" TargetMode="External"/><Relationship Id="rId111" Type="http://schemas.openxmlformats.org/officeDocument/2006/relationships/hyperlink" Target="https://www.youtube.com/watch?v=-5k_K6xcgCk" TargetMode="External"/><Relationship Id="rId132" Type="http://schemas.openxmlformats.org/officeDocument/2006/relationships/hyperlink" Target="https://youtu.be/cmple9fw65w?si=U2DZCxFQHzfsk4O2&amp;t=9" TargetMode="External"/><Relationship Id="rId153" Type="http://schemas.openxmlformats.org/officeDocument/2006/relationships/hyperlink" Target="https://youtu.be/IjDmaCdUH0g?si=4bUDoax4RMNSfoMG" TargetMode="External"/><Relationship Id="rId15" Type="http://schemas.openxmlformats.org/officeDocument/2006/relationships/hyperlink" Target="https://www.youtube.com/shorts/MTWrCC1gTuU" TargetMode="External"/><Relationship Id="rId36" Type="http://schemas.openxmlformats.org/officeDocument/2006/relationships/hyperlink" Target="https://www.youtube.com/watch?v=5QFjmotLfW4" TargetMode="External"/><Relationship Id="rId57" Type="http://schemas.openxmlformats.org/officeDocument/2006/relationships/hyperlink" Target="https://www.youtube.com/watch?v=-5k_K6xcgCk" TargetMode="External"/><Relationship Id="rId106" Type="http://schemas.openxmlformats.org/officeDocument/2006/relationships/hyperlink" Target="https://www.youtube.com/shorts/mPg5_2oCrZE" TargetMode="External"/><Relationship Id="rId127" Type="http://schemas.openxmlformats.org/officeDocument/2006/relationships/hyperlink" Target="https://youtu.be/cmple9fw65w?si=U2DZCxFQHzfsk4O2&amp;t=9" TargetMode="External"/><Relationship Id="rId10" Type="http://schemas.openxmlformats.org/officeDocument/2006/relationships/hyperlink" Target="https://www.youtube.com/shorts/mPg5_2oCrZE" TargetMode="External"/><Relationship Id="rId31" Type="http://schemas.openxmlformats.org/officeDocument/2006/relationships/hyperlink" Target="https://www.youtube.com/watch?v=k3KHgLvo4uI&amp;t=6s" TargetMode="External"/><Relationship Id="rId52" Type="http://schemas.openxmlformats.org/officeDocument/2006/relationships/hyperlink" Target="https://www.youtube.com/shorts/mPg5_2oCrZE" TargetMode="External"/><Relationship Id="rId73" Type="http://schemas.openxmlformats.org/officeDocument/2006/relationships/hyperlink" Target="https://www.youtube.com/watch?v=5QFjmotLfW4" TargetMode="External"/><Relationship Id="rId78" Type="http://schemas.openxmlformats.org/officeDocument/2006/relationships/hyperlink" Target="https://youtu.be/P8s_LRBp9lo?si=QBLEW04PU1y7BT-J" TargetMode="External"/><Relationship Id="rId94" Type="http://schemas.openxmlformats.org/officeDocument/2006/relationships/hyperlink" Target="https://www.youtube.com/shorts/eeJ_CYqSoT4" TargetMode="External"/><Relationship Id="rId99" Type="http://schemas.openxmlformats.org/officeDocument/2006/relationships/hyperlink" Target="https://hips.hearstapps.com/hmg-prod/images/workouts/2016/08/supermanw-1472154493.gif?crop=1xw:1xh;center,top&amp;resize=640:*" TargetMode="External"/><Relationship Id="rId101" Type="http://schemas.openxmlformats.org/officeDocument/2006/relationships/hyperlink" Target="https://www.youtube.com/shorts/qPXgrgUrIsg" TargetMode="External"/><Relationship Id="rId122" Type="http://schemas.openxmlformats.org/officeDocument/2006/relationships/hyperlink" Target="https://www.youtube.com/watch?v=J6Y520KkwOA" TargetMode="External"/><Relationship Id="rId143" Type="http://schemas.openxmlformats.org/officeDocument/2006/relationships/hyperlink" Target="https://youtu.be/IjDmaCdUH0g?si=4bUDoax4RMNSfoMG" TargetMode="External"/><Relationship Id="rId148" Type="http://schemas.openxmlformats.org/officeDocument/2006/relationships/hyperlink" Target="https://youtu.be/IjDmaCdUH0g?si=4bUDoax4RMNSfoMG" TargetMode="External"/><Relationship Id="rId4" Type="http://schemas.openxmlformats.org/officeDocument/2006/relationships/hyperlink" Target="https://www.youtube.com/shorts/uODWo4YqbT8" TargetMode="External"/><Relationship Id="rId9" Type="http://schemas.openxmlformats.org/officeDocument/2006/relationships/hyperlink" Target="https://www.youtube.com/watch?v=uyjuoFbFQVg" TargetMode="External"/><Relationship Id="rId26" Type="http://schemas.openxmlformats.org/officeDocument/2006/relationships/hyperlink" Target="https://www.youtube.com/watch?v=bHO0A4ZF_Zg" TargetMode="External"/><Relationship Id="rId47" Type="http://schemas.openxmlformats.org/officeDocument/2006/relationships/hyperlink" Target="https://www.youtube.com/shorts/qPXgrgUrIsg" TargetMode="External"/><Relationship Id="rId68" Type="http://schemas.openxmlformats.org/officeDocument/2006/relationships/hyperlink" Target="https://www.youtube.com/shorts/ZP72SmuKOuE" TargetMode="External"/><Relationship Id="rId89" Type="http://schemas.openxmlformats.org/officeDocument/2006/relationships/hyperlink" Target="https://www.youtube.com/watch?v=5QFjmotLfW4" TargetMode="External"/><Relationship Id="rId112" Type="http://schemas.openxmlformats.org/officeDocument/2006/relationships/hyperlink" Target="https://www.youtube.com/watch?v=O8WGl4_aYTQ" TargetMode="External"/><Relationship Id="rId133" Type="http://schemas.openxmlformats.org/officeDocument/2006/relationships/hyperlink" Target="https://youtu.be/cmple9fw65w?si=U2DZCxFQHzfsk4O2&amp;t=9" TargetMode="External"/><Relationship Id="rId154" Type="http://schemas.openxmlformats.org/officeDocument/2006/relationships/hyperlink" Target="https://youtu.be/IjDmaCdUH0g?si=4bUDoax4RMNSfoMG" TargetMode="External"/><Relationship Id="rId16" Type="http://schemas.openxmlformats.org/officeDocument/2006/relationships/hyperlink" Target="https://www.youtube.com/watch?v=5QFjmotLfW4" TargetMode="External"/><Relationship Id="rId37" Type="http://schemas.openxmlformats.org/officeDocument/2006/relationships/hyperlink" Target="https://www.youtube.com/watch?v=Me9bHFAxnCs" TargetMode="External"/><Relationship Id="rId58" Type="http://schemas.openxmlformats.org/officeDocument/2006/relationships/hyperlink" Target="https://www.youtube.com/watch?v=O8WGl4_aYTQ" TargetMode="External"/><Relationship Id="rId79" Type="http://schemas.openxmlformats.org/officeDocument/2006/relationships/hyperlink" Target="https://www.youtube.com/watch?v=bHO0A4ZF_Zg" TargetMode="External"/><Relationship Id="rId102" Type="http://schemas.openxmlformats.org/officeDocument/2006/relationships/hyperlink" Target="https://www.youtube.com/shorts/ZP72SmuKOuE" TargetMode="External"/><Relationship Id="rId123" Type="http://schemas.openxmlformats.org/officeDocument/2006/relationships/hyperlink" Target="https://www.youtube.com/shorts/mPg5_2oCrZE" TargetMode="External"/><Relationship Id="rId144" Type="http://schemas.openxmlformats.org/officeDocument/2006/relationships/hyperlink" Target="https://youtu.be/IjDmaCdUH0g?si=4bUDoax4RMNSfoMG" TargetMode="External"/><Relationship Id="rId90" Type="http://schemas.openxmlformats.org/officeDocument/2006/relationships/hyperlink" Target="https://www.youtube.com/watch?v=Me9bHFAxnCs" TargetMode="External"/><Relationship Id="rId27" Type="http://schemas.openxmlformats.org/officeDocument/2006/relationships/hyperlink" Target="https://hips.hearstapps.com/hmg-prod/images/workouts/2016/08/supermanw-1472154493.gif?crop=1xw:1xh;center,top&amp;resize=640:*" TargetMode="External"/><Relationship Id="rId48" Type="http://schemas.openxmlformats.org/officeDocument/2006/relationships/hyperlink" Target="https://www.youtube.com/shorts/ZP72SmuKOuE" TargetMode="External"/><Relationship Id="rId69" Type="http://schemas.openxmlformats.org/officeDocument/2006/relationships/hyperlink" Target="https://www.youtube.com/watch?v=J6Y520KkwOA" TargetMode="External"/><Relationship Id="rId113" Type="http://schemas.openxmlformats.org/officeDocument/2006/relationships/hyperlink" Target="https://www.youtube.com/shorts/eeJ_CYqSoT4" TargetMode="External"/><Relationship Id="rId134" Type="http://schemas.openxmlformats.org/officeDocument/2006/relationships/hyperlink" Target="https://youtu.be/cmple9fw65w?si=U2DZCxFQHzfsk4O2&amp;t=9"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youtu.be/P8s_LRBp9lo?si=QBLEW04PU1y7BT-J" TargetMode="External"/><Relationship Id="rId21" Type="http://schemas.openxmlformats.org/officeDocument/2006/relationships/hyperlink" Target="https://www.youtube.com/watch?v=k3KHgLvo4uI&amp;t=6s" TargetMode="External"/><Relationship Id="rId42" Type="http://schemas.openxmlformats.org/officeDocument/2006/relationships/hyperlink" Target="https://www.youtube.com/shorts/MTWrCC1gTuU" TargetMode="External"/><Relationship Id="rId47" Type="http://schemas.openxmlformats.org/officeDocument/2006/relationships/hyperlink" Target="https://youtu.be/Ocg8wyTciVc?si=LWyXVbYtDjva6wt2" TargetMode="External"/><Relationship Id="rId63" Type="http://schemas.openxmlformats.org/officeDocument/2006/relationships/hyperlink" Target="https://www.youtube.com/shorts/MTWrCC1gTuU" TargetMode="External"/><Relationship Id="rId68" Type="http://schemas.openxmlformats.org/officeDocument/2006/relationships/hyperlink" Target="https://www.youtube.com/watch?v=uyjuoFbFQVg" TargetMode="External"/><Relationship Id="rId84" Type="http://schemas.openxmlformats.org/officeDocument/2006/relationships/hyperlink" Target="https://www.youtube.com/watch?v=uyjuoFbFQVg" TargetMode="External"/><Relationship Id="rId89" Type="http://schemas.openxmlformats.org/officeDocument/2006/relationships/hyperlink" Target="https://www.youtube.com/shorts/qPXgrgUrIsg" TargetMode="External"/><Relationship Id="rId112" Type="http://schemas.openxmlformats.org/officeDocument/2006/relationships/printerSettings" Target="../printerSettings/printerSettings6.bin"/><Relationship Id="rId16" Type="http://schemas.openxmlformats.org/officeDocument/2006/relationships/hyperlink" Target="https://www.youtube.com/watch?v=5QFjmotLfW4" TargetMode="External"/><Relationship Id="rId107" Type="http://schemas.openxmlformats.org/officeDocument/2006/relationships/hyperlink" Target="https://www.youtube.com/shorts/qPXgrgUrIsg" TargetMode="External"/><Relationship Id="rId11" Type="http://schemas.openxmlformats.org/officeDocument/2006/relationships/hyperlink" Target="https://www.youtube.com/shorts/6XNm_X-B-tE" TargetMode="External"/><Relationship Id="rId32" Type="http://schemas.openxmlformats.org/officeDocument/2006/relationships/hyperlink" Target="https://youtu.be/cmple9fw65w?si=U2DZCxFQHzfsk4O2&amp;t=9" TargetMode="External"/><Relationship Id="rId37" Type="http://schemas.openxmlformats.org/officeDocument/2006/relationships/hyperlink" Target="https://www.youtube.com/shorts/qPXgrgUrIsg" TargetMode="External"/><Relationship Id="rId53" Type="http://schemas.openxmlformats.org/officeDocument/2006/relationships/hyperlink" Target="https://youtu.be/IjDmaCdUH0g?si=4bUDoax4RMNSfoMG" TargetMode="External"/><Relationship Id="rId58" Type="http://schemas.openxmlformats.org/officeDocument/2006/relationships/hyperlink" Target="https://www.youtube.com/shorts/qPXgrgUrIsg" TargetMode="External"/><Relationship Id="rId74" Type="http://schemas.openxmlformats.org/officeDocument/2006/relationships/hyperlink" Target="https://www.youtube.com/watch?v=k3KHgLvo4uI&amp;t=6s" TargetMode="External"/><Relationship Id="rId79" Type="http://schemas.openxmlformats.org/officeDocument/2006/relationships/hyperlink" Target="https://youtu.be/IjDmaCdUH0g?si=4bUDoax4RMNSfoMG" TargetMode="External"/><Relationship Id="rId102" Type="http://schemas.openxmlformats.org/officeDocument/2006/relationships/hyperlink" Target="https://youtu.be/IjDmaCdUH0g?si=4bUDoax4RMNSfoMG" TargetMode="External"/><Relationship Id="rId5" Type="http://schemas.openxmlformats.org/officeDocument/2006/relationships/hyperlink" Target="https://www.youtube.com/watch?v=uyjuoFbFQVg" TargetMode="External"/><Relationship Id="rId90" Type="http://schemas.openxmlformats.org/officeDocument/2006/relationships/hyperlink" Target="https://www.youtube.com/shorts/6XNm_X-B-tE" TargetMode="External"/><Relationship Id="rId95" Type="http://schemas.openxmlformats.org/officeDocument/2006/relationships/hyperlink" Target="https://www.youtube.com/shorts/MTWrCC1gTuU" TargetMode="External"/><Relationship Id="rId22" Type="http://schemas.openxmlformats.org/officeDocument/2006/relationships/hyperlink" Target="https://www.youtube.com/shorts/qPXgrgUrIsg" TargetMode="External"/><Relationship Id="rId27" Type="http://schemas.openxmlformats.org/officeDocument/2006/relationships/hyperlink" Target="https://www.youtube.com/watch?v=5QFjmotLfW4" TargetMode="External"/><Relationship Id="rId43" Type="http://schemas.openxmlformats.org/officeDocument/2006/relationships/hyperlink" Target="https://www.youtube.com/watch?v=bHO0A4ZF_Zg" TargetMode="External"/><Relationship Id="rId48" Type="http://schemas.openxmlformats.org/officeDocument/2006/relationships/hyperlink" Target="https://youtu.be/Ocg8wyTciVc?si=LWyXVbYtDjva6wt2" TargetMode="External"/><Relationship Id="rId64" Type="http://schemas.openxmlformats.org/officeDocument/2006/relationships/hyperlink" Target="https://youtu.be/P8s_LRBp9lo?si=QBLEW04PU1y7BT-J" TargetMode="External"/><Relationship Id="rId69" Type="http://schemas.openxmlformats.org/officeDocument/2006/relationships/hyperlink" Target="https://youtu.be/cmple9fw65w?si=U2DZCxFQHzfsk4O2&amp;t=9" TargetMode="External"/><Relationship Id="rId113" Type="http://schemas.openxmlformats.org/officeDocument/2006/relationships/drawing" Target="../drawings/drawing8.xml"/><Relationship Id="rId80" Type="http://schemas.openxmlformats.org/officeDocument/2006/relationships/hyperlink" Target="https://youtu.be/P8s_LRBp9lo?si=QBLEW04PU1y7BT-J" TargetMode="External"/><Relationship Id="rId85" Type="http://schemas.openxmlformats.org/officeDocument/2006/relationships/hyperlink" Target="https://www.youtube.com/watch?v=B5WBpQ6jrlw" TargetMode="External"/><Relationship Id="rId12" Type="http://schemas.openxmlformats.org/officeDocument/2006/relationships/hyperlink" Target="https://www.youtube.com/shorts/mPg5_2oCrZE" TargetMode="External"/><Relationship Id="rId17" Type="http://schemas.openxmlformats.org/officeDocument/2006/relationships/hyperlink" Target="https://www.youtube.com/watch?v=uyjuoFbFQVg" TargetMode="External"/><Relationship Id="rId33" Type="http://schemas.openxmlformats.org/officeDocument/2006/relationships/hyperlink" Target="https://youtu.be/cmple9fw65w?si=U2DZCxFQHzfsk4O2&amp;t=9" TargetMode="External"/><Relationship Id="rId38" Type="http://schemas.openxmlformats.org/officeDocument/2006/relationships/hyperlink" Target="https://www.youtube.com/shorts/6XNm_X-B-tE" TargetMode="External"/><Relationship Id="rId59" Type="http://schemas.openxmlformats.org/officeDocument/2006/relationships/hyperlink" Target="https://www.youtube.com/shorts/6XNm_X-B-tE" TargetMode="External"/><Relationship Id="rId103" Type="http://schemas.openxmlformats.org/officeDocument/2006/relationships/hyperlink" Target="https://www.youtube.com/watch?v=OAhvIWLC0rc" TargetMode="External"/><Relationship Id="rId108" Type="http://schemas.openxmlformats.org/officeDocument/2006/relationships/hyperlink" Target="https://www.youtube.com/shorts/6XNm_X-B-tE" TargetMode="External"/><Relationship Id="rId54" Type="http://schemas.openxmlformats.org/officeDocument/2006/relationships/hyperlink" Target="https://youtu.be/IjDmaCdUH0g?si=4bUDoax4RMNSfoMG" TargetMode="External"/><Relationship Id="rId70" Type="http://schemas.openxmlformats.org/officeDocument/2006/relationships/hyperlink" Target="https://youtu.be/IjDmaCdUH0g?si=4bUDoax4RMNSfoMG" TargetMode="External"/><Relationship Id="rId75" Type="http://schemas.openxmlformats.org/officeDocument/2006/relationships/hyperlink" Target="https://www.youtube.com/shorts/qPXgrgUrIsg" TargetMode="External"/><Relationship Id="rId91" Type="http://schemas.openxmlformats.org/officeDocument/2006/relationships/hyperlink" Target="https://www.youtube.com/shorts/mPg5_2oCrZE" TargetMode="External"/><Relationship Id="rId96" Type="http://schemas.openxmlformats.org/officeDocument/2006/relationships/hyperlink" Target="https://youtu.be/P8s_LRBp9lo?si=QBLEW04PU1y7BT-J" TargetMode="External"/><Relationship Id="rId1" Type="http://schemas.openxmlformats.org/officeDocument/2006/relationships/hyperlink" Target="https://youtu.be/P8s_LRBp9lo?si=QBLEW04PU1y7BT-J" TargetMode="External"/><Relationship Id="rId6" Type="http://schemas.openxmlformats.org/officeDocument/2006/relationships/hyperlink" Target="https://www.youtube.com/watch?v=B5WBpQ6jrlw" TargetMode="External"/><Relationship Id="rId15" Type="http://schemas.openxmlformats.org/officeDocument/2006/relationships/hyperlink" Target="https://www.youtube.com/watch?v=bHO0A4ZF_Zg" TargetMode="External"/><Relationship Id="rId23" Type="http://schemas.openxmlformats.org/officeDocument/2006/relationships/hyperlink" Target="https://www.youtube.com/shorts/6XNm_X-B-tE" TargetMode="External"/><Relationship Id="rId28" Type="http://schemas.openxmlformats.org/officeDocument/2006/relationships/hyperlink" Target="https://www.youtube.com/watch?v=bHO0A4ZF_Zg" TargetMode="External"/><Relationship Id="rId36" Type="http://schemas.openxmlformats.org/officeDocument/2006/relationships/hyperlink" Target="https://www.youtube.com/watch?v=k3KHgLvo4uI&amp;t=6s" TargetMode="External"/><Relationship Id="rId49" Type="http://schemas.openxmlformats.org/officeDocument/2006/relationships/hyperlink" Target="https://youtu.be/Ocg8wyTciVc?si=LWyXVbYtDjva6wt2" TargetMode="External"/><Relationship Id="rId57" Type="http://schemas.openxmlformats.org/officeDocument/2006/relationships/hyperlink" Target="https://www.youtube.com/watch?v=k3KHgLvo4uI&amp;t=6s" TargetMode="External"/><Relationship Id="rId106" Type="http://schemas.openxmlformats.org/officeDocument/2006/relationships/hyperlink" Target="https://www.youtube.com/watch?v=k3KHgLvo4uI&amp;t=6s" TargetMode="External"/><Relationship Id="rId10" Type="http://schemas.openxmlformats.org/officeDocument/2006/relationships/hyperlink" Target="https://www.youtube.com/shorts/qPXgrgUrIsg" TargetMode="External"/><Relationship Id="rId31" Type="http://schemas.openxmlformats.org/officeDocument/2006/relationships/hyperlink" Target="https://youtu.be/cmple9fw65w?si=U2DZCxFQHzfsk4O2&amp;t=9" TargetMode="External"/><Relationship Id="rId44" Type="http://schemas.openxmlformats.org/officeDocument/2006/relationships/hyperlink" Target="https://www.youtube.com/watch?v=5QFjmotLfW4" TargetMode="External"/><Relationship Id="rId52" Type="http://schemas.openxmlformats.org/officeDocument/2006/relationships/hyperlink" Target="https://youtu.be/IjDmaCdUH0g?si=4bUDoax4RMNSfoMG" TargetMode="External"/><Relationship Id="rId60" Type="http://schemas.openxmlformats.org/officeDocument/2006/relationships/hyperlink" Target="https://www.youtube.com/shorts/mPg5_2oCrZE" TargetMode="External"/><Relationship Id="rId65" Type="http://schemas.openxmlformats.org/officeDocument/2006/relationships/hyperlink" Target="https://www.youtube.com/watch?v=5QFjmotLfW4" TargetMode="External"/><Relationship Id="rId73" Type="http://schemas.openxmlformats.org/officeDocument/2006/relationships/hyperlink" Target="https://www.youtube.com/watch?v=OAhvIWLC0rc" TargetMode="External"/><Relationship Id="rId78" Type="http://schemas.openxmlformats.org/officeDocument/2006/relationships/hyperlink" Target="https://youtu.be/IjDmaCdUH0g?si=4bUDoax4RMNSfoMG" TargetMode="External"/><Relationship Id="rId81" Type="http://schemas.openxmlformats.org/officeDocument/2006/relationships/hyperlink" Target="https://www.youtube.com/shorts/MTWrCC1gTuU" TargetMode="External"/><Relationship Id="rId86" Type="http://schemas.openxmlformats.org/officeDocument/2006/relationships/hyperlink" Target="https://www.youtube.com/watch?v=C_VtOYc6j5c" TargetMode="External"/><Relationship Id="rId94" Type="http://schemas.openxmlformats.org/officeDocument/2006/relationships/hyperlink" Target="https://youtu.be/cmple9fw65w?si=U2DZCxFQHzfsk4O2&amp;t=9" TargetMode="External"/><Relationship Id="rId99" Type="http://schemas.openxmlformats.org/officeDocument/2006/relationships/hyperlink" Target="https://www.youtube.com/watch?v=B5WBpQ6jrlw" TargetMode="External"/><Relationship Id="rId101" Type="http://schemas.openxmlformats.org/officeDocument/2006/relationships/hyperlink" Target="https://youtu.be/cmple9fw65w?si=U2DZCxFQHzfsk4O2&amp;t=9" TargetMode="External"/><Relationship Id="rId4" Type="http://schemas.openxmlformats.org/officeDocument/2006/relationships/hyperlink" Target="https://www.youtube.com/watch?v=5QFjmotLfW4" TargetMode="External"/><Relationship Id="rId9" Type="http://schemas.openxmlformats.org/officeDocument/2006/relationships/hyperlink" Target="https://www.youtube.com/watch?v=k3KHgLvo4uI&amp;t=6s" TargetMode="External"/><Relationship Id="rId13" Type="http://schemas.openxmlformats.org/officeDocument/2006/relationships/hyperlink" Target="https://youtu.be/P8s_LRBp9lo?si=QBLEW04PU1y7BT-J" TargetMode="External"/><Relationship Id="rId18" Type="http://schemas.openxmlformats.org/officeDocument/2006/relationships/hyperlink" Target="https://www.youtube.com/watch?v=B5WBpQ6jrlw" TargetMode="External"/><Relationship Id="rId39" Type="http://schemas.openxmlformats.org/officeDocument/2006/relationships/hyperlink" Target="https://www.youtube.com/shorts/mPg5_2oCrZE" TargetMode="External"/><Relationship Id="rId109" Type="http://schemas.openxmlformats.org/officeDocument/2006/relationships/hyperlink" Target="https://www.youtube.com/shorts/mPg5_2oCrZE" TargetMode="External"/><Relationship Id="rId34" Type="http://schemas.openxmlformats.org/officeDocument/2006/relationships/hyperlink" Target="https://youtu.be/cmple9fw65w?si=U2DZCxFQHzfsk4O2&amp;t=9" TargetMode="External"/><Relationship Id="rId50" Type="http://schemas.openxmlformats.org/officeDocument/2006/relationships/hyperlink" Target="https://youtu.be/IjDmaCdUH0g?si=4bUDoax4RMNSfoMG" TargetMode="External"/><Relationship Id="rId55" Type="http://schemas.openxmlformats.org/officeDocument/2006/relationships/hyperlink" Target="https://www.youtube.com/watch?v=C_VtOYc6j5c" TargetMode="External"/><Relationship Id="rId76" Type="http://schemas.openxmlformats.org/officeDocument/2006/relationships/hyperlink" Target="https://www.youtube.com/shorts/6XNm_X-B-tE" TargetMode="External"/><Relationship Id="rId97" Type="http://schemas.openxmlformats.org/officeDocument/2006/relationships/hyperlink" Target="https://www.youtube.com/watch?v=5QFjmotLfW4" TargetMode="External"/><Relationship Id="rId104" Type="http://schemas.openxmlformats.org/officeDocument/2006/relationships/hyperlink" Target="https://www.youtube.com/watch?v=C_VtOYc6j5c" TargetMode="External"/><Relationship Id="rId7" Type="http://schemas.openxmlformats.org/officeDocument/2006/relationships/hyperlink" Target="https://www.youtube.com/watch?v=C_VtOYc6j5c" TargetMode="External"/><Relationship Id="rId71" Type="http://schemas.openxmlformats.org/officeDocument/2006/relationships/hyperlink" Target="https://youtu.be/cmple9fw65w?si=U2DZCxFQHzfsk4O2&amp;t=9" TargetMode="External"/><Relationship Id="rId92" Type="http://schemas.openxmlformats.org/officeDocument/2006/relationships/hyperlink" Target="https://youtu.be/cmple9fw65w?si=U2DZCxFQHzfsk4O2&amp;t=9" TargetMode="External"/><Relationship Id="rId2" Type="http://schemas.openxmlformats.org/officeDocument/2006/relationships/hyperlink" Target="https://www.youtube.com/shorts/MTWrCC1gTuU" TargetMode="External"/><Relationship Id="rId29" Type="http://schemas.openxmlformats.org/officeDocument/2006/relationships/hyperlink" Target="https://www.youtube.com/watch?v=B5WBpQ6jrlw" TargetMode="External"/><Relationship Id="rId24" Type="http://schemas.openxmlformats.org/officeDocument/2006/relationships/hyperlink" Target="https://www.youtube.com/shorts/mPg5_2oCrZE" TargetMode="External"/><Relationship Id="rId40" Type="http://schemas.openxmlformats.org/officeDocument/2006/relationships/hyperlink" Target="https://youtu.be/cmple9fw65w?si=U2DZCxFQHzfsk4O2&amp;t=9" TargetMode="External"/><Relationship Id="rId45" Type="http://schemas.openxmlformats.org/officeDocument/2006/relationships/hyperlink" Target="https://www.youtube.com/watch?v=uyjuoFbFQVg" TargetMode="External"/><Relationship Id="rId66" Type="http://schemas.openxmlformats.org/officeDocument/2006/relationships/hyperlink" Target="https://www.youtube.com/watch?v=bHO0A4ZF_Zg" TargetMode="External"/><Relationship Id="rId87" Type="http://schemas.openxmlformats.org/officeDocument/2006/relationships/hyperlink" Target="https://www.youtube.com/watch?v=OAhvIWLC0rc" TargetMode="External"/><Relationship Id="rId110" Type="http://schemas.openxmlformats.org/officeDocument/2006/relationships/hyperlink" Target="https://youtu.be/cmple9fw65w?si=U2DZCxFQHzfsk4O2&amp;t=9" TargetMode="External"/><Relationship Id="rId61" Type="http://schemas.openxmlformats.org/officeDocument/2006/relationships/hyperlink" Target="https://youtu.be/cmple9fw65w?si=U2DZCxFQHzfsk4O2&amp;t=9" TargetMode="External"/><Relationship Id="rId82" Type="http://schemas.openxmlformats.org/officeDocument/2006/relationships/hyperlink" Target="https://www.youtube.com/watch?v=bHO0A4ZF_Zg" TargetMode="External"/><Relationship Id="rId19" Type="http://schemas.openxmlformats.org/officeDocument/2006/relationships/hyperlink" Target="https://www.youtube.com/watch?v=C_VtOYc6j5c" TargetMode="External"/><Relationship Id="rId14" Type="http://schemas.openxmlformats.org/officeDocument/2006/relationships/hyperlink" Target="https://www.youtube.com/shorts/MTWrCC1gTuU" TargetMode="External"/><Relationship Id="rId30" Type="http://schemas.openxmlformats.org/officeDocument/2006/relationships/hyperlink" Target="https://www.youtube.com/watch?v=uyjuoFbFQVg" TargetMode="External"/><Relationship Id="rId35" Type="http://schemas.openxmlformats.org/officeDocument/2006/relationships/hyperlink" Target="https://www.youtube.com/watch?v=C_VtOYc6j5c" TargetMode="External"/><Relationship Id="rId56" Type="http://schemas.openxmlformats.org/officeDocument/2006/relationships/hyperlink" Target="https://www.youtube.com/watch?v=OAhvIWLC0rc" TargetMode="External"/><Relationship Id="rId77" Type="http://schemas.openxmlformats.org/officeDocument/2006/relationships/hyperlink" Target="https://www.youtube.com/shorts/mPg5_2oCrZE" TargetMode="External"/><Relationship Id="rId100" Type="http://schemas.openxmlformats.org/officeDocument/2006/relationships/hyperlink" Target="https://www.youtube.com/watch?v=uyjuoFbFQVg" TargetMode="External"/><Relationship Id="rId105" Type="http://schemas.openxmlformats.org/officeDocument/2006/relationships/hyperlink" Target="https://www.youtube.com/watch?v=OAhvIWLC0rc" TargetMode="External"/><Relationship Id="rId8" Type="http://schemas.openxmlformats.org/officeDocument/2006/relationships/hyperlink" Target="https://www.youtube.com/watch?v=OAhvIWLC0rc" TargetMode="External"/><Relationship Id="rId51" Type="http://schemas.openxmlformats.org/officeDocument/2006/relationships/hyperlink" Target="https://youtu.be/IjDmaCdUH0g?si=4bUDoax4RMNSfoMG" TargetMode="External"/><Relationship Id="rId72" Type="http://schemas.openxmlformats.org/officeDocument/2006/relationships/hyperlink" Target="https://www.youtube.com/watch?v=C_VtOYc6j5c" TargetMode="External"/><Relationship Id="rId93" Type="http://schemas.openxmlformats.org/officeDocument/2006/relationships/hyperlink" Target="https://youtu.be/IjDmaCdUH0g?si=4bUDoax4RMNSfoMG" TargetMode="External"/><Relationship Id="rId98" Type="http://schemas.openxmlformats.org/officeDocument/2006/relationships/hyperlink" Target="https://www.youtube.com/watch?v=bHO0A4ZF_Zg" TargetMode="External"/><Relationship Id="rId3" Type="http://schemas.openxmlformats.org/officeDocument/2006/relationships/hyperlink" Target="https://www.youtube.com/watch?v=bHO0A4ZF_Zg" TargetMode="External"/><Relationship Id="rId25" Type="http://schemas.openxmlformats.org/officeDocument/2006/relationships/hyperlink" Target="https://www.youtube.com/shorts/MTWrCC1gTuU" TargetMode="External"/><Relationship Id="rId46" Type="http://schemas.openxmlformats.org/officeDocument/2006/relationships/hyperlink" Target="https://www.youtube.com/watch?v=B5WBpQ6jrlw" TargetMode="External"/><Relationship Id="rId67" Type="http://schemas.openxmlformats.org/officeDocument/2006/relationships/hyperlink" Target="https://www.youtube.com/watch?v=B5WBpQ6jrlw" TargetMode="External"/><Relationship Id="rId20" Type="http://schemas.openxmlformats.org/officeDocument/2006/relationships/hyperlink" Target="https://www.youtube.com/watch?v=OAhvIWLC0rc" TargetMode="External"/><Relationship Id="rId41" Type="http://schemas.openxmlformats.org/officeDocument/2006/relationships/hyperlink" Target="https://youtu.be/P8s_LRBp9lo?si=QBLEW04PU1y7BT-J" TargetMode="External"/><Relationship Id="rId62" Type="http://schemas.openxmlformats.org/officeDocument/2006/relationships/hyperlink" Target="https://youtu.be/IjDmaCdUH0g?si=4bUDoax4RMNSfoMG" TargetMode="External"/><Relationship Id="rId83" Type="http://schemas.openxmlformats.org/officeDocument/2006/relationships/hyperlink" Target="https://www.youtube.com/watch?v=5QFjmotLfW4" TargetMode="External"/><Relationship Id="rId88" Type="http://schemas.openxmlformats.org/officeDocument/2006/relationships/hyperlink" Target="https://www.youtube.com/watch?v=k3KHgLvo4uI&amp;t=6s" TargetMode="External"/><Relationship Id="rId111" Type="http://schemas.openxmlformats.org/officeDocument/2006/relationships/hyperlink" Target="https://youtu.be/IjDmaCdUH0g?si=4bUDoax4RMNSfoMG"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youtube.com/shorts/qPXgrgUrIsg" TargetMode="External"/><Relationship Id="rId21" Type="http://schemas.openxmlformats.org/officeDocument/2006/relationships/hyperlink" Target="https://www.youtube.com/watch?v=uyjuoFbFQVg" TargetMode="External"/><Relationship Id="rId42" Type="http://schemas.openxmlformats.org/officeDocument/2006/relationships/hyperlink" Target="https://youtu.be/IjDmaCdUH0g?si=4bUDoax4RMNSfoMG" TargetMode="External"/><Relationship Id="rId47" Type="http://schemas.openxmlformats.org/officeDocument/2006/relationships/hyperlink" Target="https://www.youtube.com/watch?v=uyjuoFbFQVg" TargetMode="External"/><Relationship Id="rId63" Type="http://schemas.openxmlformats.org/officeDocument/2006/relationships/hyperlink" Target="https://www.youtube.com/shorts/MTWrCC1gTuU" TargetMode="External"/><Relationship Id="rId68" Type="http://schemas.openxmlformats.org/officeDocument/2006/relationships/hyperlink" Target="https://youtu.be/IjDmaCdUH0g?si=4bUDoax4RMNSfoMG" TargetMode="External"/><Relationship Id="rId84" Type="http://schemas.openxmlformats.org/officeDocument/2006/relationships/hyperlink" Target="https://www.youtube.com/shorts/6XNm_X-B-tE" TargetMode="External"/><Relationship Id="rId89" Type="http://schemas.openxmlformats.org/officeDocument/2006/relationships/hyperlink" Target="https://www.youtube.com/watch?v=5QFjmotLfW4" TargetMode="External"/><Relationship Id="rId16" Type="http://schemas.openxmlformats.org/officeDocument/2006/relationships/hyperlink" Target="https://youtu.be/IjDmaCdUH0g?si=4bUDoax4RMNSfoMG" TargetMode="External"/><Relationship Id="rId11" Type="http://schemas.openxmlformats.org/officeDocument/2006/relationships/hyperlink" Target="https://www.youtube.com/shorts/mPg5_2oCrZE" TargetMode="External"/><Relationship Id="rId32" Type="http://schemas.openxmlformats.org/officeDocument/2006/relationships/hyperlink" Target="https://www.youtube.com/watch?v=C_VtOYc6j5c" TargetMode="External"/><Relationship Id="rId37" Type="http://schemas.openxmlformats.org/officeDocument/2006/relationships/hyperlink" Target="https://www.youtube.com/shorts/MTWrCC1gTuU" TargetMode="External"/><Relationship Id="rId53" Type="http://schemas.openxmlformats.org/officeDocument/2006/relationships/hyperlink" Target="https://youtu.be/cmple9fw65w?si=U2DZCxFQHzfsk4O2&amp;t=9" TargetMode="External"/><Relationship Id="rId58" Type="http://schemas.openxmlformats.org/officeDocument/2006/relationships/hyperlink" Target="https://www.youtube.com/watch?v=C_VtOYc6j5c" TargetMode="External"/><Relationship Id="rId74" Type="http://schemas.openxmlformats.org/officeDocument/2006/relationships/hyperlink" Target="https://youtu.be/P8s_LRBp9lo?si=QBLEW04PU1y7BT-J" TargetMode="External"/><Relationship Id="rId79" Type="http://schemas.openxmlformats.org/officeDocument/2006/relationships/hyperlink" Target="https://youtu.be/IjDmaCdUH0g?si=4bUDoax4RMNSfoMG" TargetMode="External"/><Relationship Id="rId5" Type="http://schemas.openxmlformats.org/officeDocument/2006/relationships/hyperlink" Target="https://youtu.be/P8s_LRBp9lo?si=QBLEW04PU1y7BT-J" TargetMode="External"/><Relationship Id="rId90" Type="http://schemas.openxmlformats.org/officeDocument/2006/relationships/hyperlink" Target="https://www.youtube.com/watch?v=uyjuoFbFQVg" TargetMode="External"/><Relationship Id="rId14" Type="http://schemas.openxmlformats.org/officeDocument/2006/relationships/hyperlink" Target="https://youtu.be/cmple9fw65w?si=U2DZCxFQHzfsk4O2&amp;t=9" TargetMode="External"/><Relationship Id="rId22" Type="http://schemas.openxmlformats.org/officeDocument/2006/relationships/hyperlink" Target="https://youtu.be/Ocg8wyTciVc?si=LWyXVbYtDjva6wt2" TargetMode="External"/><Relationship Id="rId27" Type="http://schemas.openxmlformats.org/officeDocument/2006/relationships/hyperlink" Target="https://youtu.be/cmple9fw65w?si=U2DZCxFQHzfsk4O2&amp;t=9" TargetMode="External"/><Relationship Id="rId30" Type="http://schemas.openxmlformats.org/officeDocument/2006/relationships/hyperlink" Target="https://www.youtube.com/watch?v=k3KHgLvo4uI&amp;t=6s" TargetMode="External"/><Relationship Id="rId35" Type="http://schemas.openxmlformats.org/officeDocument/2006/relationships/hyperlink" Target="https://youtu.be/IjDmaCdUH0g?si=4bUDoax4RMNSfoMG" TargetMode="External"/><Relationship Id="rId43" Type="http://schemas.openxmlformats.org/officeDocument/2006/relationships/hyperlink" Target="https://youtu.be/IjDmaCdUH0g?si=4bUDoax4RMNSfoMG" TargetMode="External"/><Relationship Id="rId48" Type="http://schemas.openxmlformats.org/officeDocument/2006/relationships/hyperlink" Target="https://youtu.be/Ocg8wyTciVc?si=LWyXVbYtDjva6wt2" TargetMode="External"/><Relationship Id="rId56" Type="http://schemas.openxmlformats.org/officeDocument/2006/relationships/hyperlink" Target="https://www.youtube.com/watch?v=k3KHgLvo4uI&amp;t=6s" TargetMode="External"/><Relationship Id="rId64" Type="http://schemas.openxmlformats.org/officeDocument/2006/relationships/hyperlink" Target="https://www.youtube.com/watch?v=5QFjmotLfW4" TargetMode="External"/><Relationship Id="rId69" Type="http://schemas.openxmlformats.org/officeDocument/2006/relationships/hyperlink" Target="https://youtu.be/IjDmaCdUH0g?si=4bUDoax4RMNSfoMG" TargetMode="External"/><Relationship Id="rId77" Type="http://schemas.openxmlformats.org/officeDocument/2006/relationships/hyperlink" Target="https://www.youtube.com/shorts/qPXgrgUrIsg" TargetMode="External"/><Relationship Id="rId8" Type="http://schemas.openxmlformats.org/officeDocument/2006/relationships/hyperlink" Target="https://www.youtube.com/shorts/qPXgrgUrIsg" TargetMode="External"/><Relationship Id="rId51" Type="http://schemas.openxmlformats.org/officeDocument/2006/relationships/hyperlink" Target="https://hips.hearstapps.com/hmg-prod/images/workouts/2016/08/supermanw-1472154493.gif?crop=1xw:1xh;center,top&amp;resize=640:*" TargetMode="External"/><Relationship Id="rId72" Type="http://schemas.openxmlformats.org/officeDocument/2006/relationships/hyperlink" Target="https://www.youtube.com/watch?v=5QFjmotLfW4" TargetMode="External"/><Relationship Id="rId80" Type="http://schemas.openxmlformats.org/officeDocument/2006/relationships/hyperlink" Target="https://www.youtube.com/shorts/ZP72SmuKOuE" TargetMode="External"/><Relationship Id="rId85" Type="http://schemas.openxmlformats.org/officeDocument/2006/relationships/hyperlink" Target="https://youtu.be/cmple9fw65w?si=U2DZCxFQHzfsk4O2&amp;t=9" TargetMode="External"/><Relationship Id="rId3" Type="http://schemas.openxmlformats.org/officeDocument/2006/relationships/hyperlink" Target="https://www.youtube.com/watch?v=5QFjmotLfW4" TargetMode="External"/><Relationship Id="rId12" Type="http://schemas.openxmlformats.org/officeDocument/2006/relationships/hyperlink" Target="https://www.youtube.com/watch?v=C_VtOYc6j5c" TargetMode="External"/><Relationship Id="rId17" Type="http://schemas.openxmlformats.org/officeDocument/2006/relationships/hyperlink" Target="https://youtu.be/IjDmaCdUH0g?si=4bUDoax4RMNSfoMG" TargetMode="External"/><Relationship Id="rId25" Type="http://schemas.openxmlformats.org/officeDocument/2006/relationships/hyperlink" Target="https://hips.hearstapps.com/hmg-prod/images/workouts/2016/08/supermanw-1472154493.gif?crop=1xw:1xh;center,top&amp;resize=640:*" TargetMode="External"/><Relationship Id="rId33" Type="http://schemas.openxmlformats.org/officeDocument/2006/relationships/hyperlink" Target="https://www.youtube.com/shorts/6XNm_X-B-tE" TargetMode="External"/><Relationship Id="rId38" Type="http://schemas.openxmlformats.org/officeDocument/2006/relationships/hyperlink" Target="https://www.youtube.com/watch?v=5QFjmotLfW4" TargetMode="External"/><Relationship Id="rId46" Type="http://schemas.openxmlformats.org/officeDocument/2006/relationships/hyperlink" Target="https://www.youtube.com/watch?v=5QFjmotLfW4" TargetMode="External"/><Relationship Id="rId59" Type="http://schemas.openxmlformats.org/officeDocument/2006/relationships/hyperlink" Target="https://www.youtube.com/shorts/6XNm_X-B-tE" TargetMode="External"/><Relationship Id="rId67" Type="http://schemas.openxmlformats.org/officeDocument/2006/relationships/hyperlink" Target="https://youtu.be/cmple9fw65w?si=U2DZCxFQHzfsk4O2&amp;t=9" TargetMode="External"/><Relationship Id="rId20" Type="http://schemas.openxmlformats.org/officeDocument/2006/relationships/hyperlink" Target="https://www.youtube.com/watch?v=5QFjmotLfW4" TargetMode="External"/><Relationship Id="rId41" Type="http://schemas.openxmlformats.org/officeDocument/2006/relationships/hyperlink" Target="https://youtu.be/cmple9fw65w?si=U2DZCxFQHzfsk4O2&amp;t=9" TargetMode="External"/><Relationship Id="rId54" Type="http://schemas.openxmlformats.org/officeDocument/2006/relationships/hyperlink" Target="https://youtu.be/IjDmaCdUH0g?si=4bUDoax4RMNSfoMG" TargetMode="External"/><Relationship Id="rId62" Type="http://schemas.openxmlformats.org/officeDocument/2006/relationships/hyperlink" Target="https://www.youtube.com/watch?v=5QFjmotLfW4" TargetMode="External"/><Relationship Id="rId70" Type="http://schemas.openxmlformats.org/officeDocument/2006/relationships/hyperlink" Target="https://www.youtube.com/watch?v=5QFjmotLfW4" TargetMode="External"/><Relationship Id="rId75" Type="http://schemas.openxmlformats.org/officeDocument/2006/relationships/hyperlink" Target="https://www.youtube.com/watch?v=bHO0A4ZF_Zg" TargetMode="External"/><Relationship Id="rId83" Type="http://schemas.openxmlformats.org/officeDocument/2006/relationships/hyperlink" Target="https://www.youtube.com/watch?v=C_VtOYc6j5c" TargetMode="External"/><Relationship Id="rId88" Type="http://schemas.openxmlformats.org/officeDocument/2006/relationships/hyperlink" Target="https://www.youtube.com/shorts/MTWrCC1gTuU" TargetMode="External"/><Relationship Id="rId91" Type="http://schemas.openxmlformats.org/officeDocument/2006/relationships/hyperlink" Target="https://www.youtube.com/shorts/vpRngzQA0v0" TargetMode="External"/><Relationship Id="rId1" Type="http://schemas.openxmlformats.org/officeDocument/2006/relationships/hyperlink" Target="https://www.youtube.com/watch?v=5QFjmotLfW4" TargetMode="External"/><Relationship Id="rId6" Type="http://schemas.openxmlformats.org/officeDocument/2006/relationships/hyperlink" Target="https://www.youtube.com/watch?v=bHO0A4ZF_Zg" TargetMode="External"/><Relationship Id="rId15" Type="http://schemas.openxmlformats.org/officeDocument/2006/relationships/hyperlink" Target="https://youtu.be/cmple9fw65w?si=U2DZCxFQHzfsk4O2&amp;t=9" TargetMode="External"/><Relationship Id="rId23" Type="http://schemas.openxmlformats.org/officeDocument/2006/relationships/hyperlink" Target="https://youtu.be/P8s_LRBp9lo?si=QBLEW04PU1y7BT-J" TargetMode="External"/><Relationship Id="rId28" Type="http://schemas.openxmlformats.org/officeDocument/2006/relationships/hyperlink" Target="https://youtu.be/IjDmaCdUH0g?si=4bUDoax4RMNSfoMG" TargetMode="External"/><Relationship Id="rId36" Type="http://schemas.openxmlformats.org/officeDocument/2006/relationships/hyperlink" Target="https://www.youtube.com/watch?v=5QFjmotLfW4" TargetMode="External"/><Relationship Id="rId49" Type="http://schemas.openxmlformats.org/officeDocument/2006/relationships/hyperlink" Target="https://youtu.be/P8s_LRBp9lo?si=QBLEW04PU1y7BT-J" TargetMode="External"/><Relationship Id="rId57" Type="http://schemas.openxmlformats.org/officeDocument/2006/relationships/hyperlink" Target="https://www.youtube.com/shorts/mPg5_2oCrZE" TargetMode="External"/><Relationship Id="rId10" Type="http://schemas.openxmlformats.org/officeDocument/2006/relationships/hyperlink" Target="https://www.youtube.com/watch?v=k3KHgLvo4uI&amp;t=6s" TargetMode="External"/><Relationship Id="rId31" Type="http://schemas.openxmlformats.org/officeDocument/2006/relationships/hyperlink" Target="https://www.youtube.com/shorts/mPg5_2oCrZE" TargetMode="External"/><Relationship Id="rId44" Type="http://schemas.openxmlformats.org/officeDocument/2006/relationships/hyperlink" Target="https://www.youtube.com/watch?v=5QFjmotLfW4" TargetMode="External"/><Relationship Id="rId52" Type="http://schemas.openxmlformats.org/officeDocument/2006/relationships/hyperlink" Target="https://www.youtube.com/shorts/qPXgrgUrIsg" TargetMode="External"/><Relationship Id="rId60" Type="http://schemas.openxmlformats.org/officeDocument/2006/relationships/hyperlink" Target="https://youtu.be/cmple9fw65w?si=U2DZCxFQHzfsk4O2&amp;t=9" TargetMode="External"/><Relationship Id="rId65" Type="http://schemas.openxmlformats.org/officeDocument/2006/relationships/hyperlink" Target="https://www.youtube.com/watch?v=uyjuoFbFQVg" TargetMode="External"/><Relationship Id="rId73" Type="http://schemas.openxmlformats.org/officeDocument/2006/relationships/hyperlink" Target="https://www.youtube.com/watch?v=uyjuoFbFQVg" TargetMode="External"/><Relationship Id="rId78" Type="http://schemas.openxmlformats.org/officeDocument/2006/relationships/hyperlink" Target="https://youtu.be/cmple9fw65w?si=U2DZCxFQHzfsk4O2&amp;t=9" TargetMode="External"/><Relationship Id="rId81" Type="http://schemas.openxmlformats.org/officeDocument/2006/relationships/hyperlink" Target="https://www.youtube.com/watch?v=k3KHgLvo4uI&amp;t=6s" TargetMode="External"/><Relationship Id="rId86" Type="http://schemas.openxmlformats.org/officeDocument/2006/relationships/hyperlink" Target="https://youtu.be/IjDmaCdUH0g?si=4bUDoax4RMNSfoMG" TargetMode="External"/><Relationship Id="rId4" Type="http://schemas.openxmlformats.org/officeDocument/2006/relationships/hyperlink" Target="https://www.youtube.com/watch?v=uyjuoFbFQVg" TargetMode="External"/><Relationship Id="rId9" Type="http://schemas.openxmlformats.org/officeDocument/2006/relationships/hyperlink" Target="https://www.youtube.com/shorts/ZP72SmuKOuE" TargetMode="External"/><Relationship Id="rId13" Type="http://schemas.openxmlformats.org/officeDocument/2006/relationships/hyperlink" Target="https://www.youtube.com/shorts/6XNm_X-B-tE" TargetMode="External"/><Relationship Id="rId18" Type="http://schemas.openxmlformats.org/officeDocument/2006/relationships/hyperlink" Target="https://www.youtube.com/watch?v=5QFjmotLfW4" TargetMode="External"/><Relationship Id="rId39" Type="http://schemas.openxmlformats.org/officeDocument/2006/relationships/hyperlink" Target="https://www.youtube.com/watch?v=uyjuoFbFQVg" TargetMode="External"/><Relationship Id="rId34" Type="http://schemas.openxmlformats.org/officeDocument/2006/relationships/hyperlink" Target="https://youtu.be/cmple9fw65w?si=U2DZCxFQHzfsk4O2&amp;t=9" TargetMode="External"/><Relationship Id="rId50" Type="http://schemas.openxmlformats.org/officeDocument/2006/relationships/hyperlink" Target="https://www.youtube.com/watch?v=bHO0A4ZF_Zg" TargetMode="External"/><Relationship Id="rId55" Type="http://schemas.openxmlformats.org/officeDocument/2006/relationships/hyperlink" Target="https://www.youtube.com/shorts/ZP72SmuKOuE" TargetMode="External"/><Relationship Id="rId76" Type="http://schemas.openxmlformats.org/officeDocument/2006/relationships/hyperlink" Target="https://hips.hearstapps.com/hmg-prod/images/workouts/2016/08/supermanw-1472154493.gif?crop=1xw:1xh;center,top&amp;resize=640:*" TargetMode="External"/><Relationship Id="rId7" Type="http://schemas.openxmlformats.org/officeDocument/2006/relationships/hyperlink" Target="https://hips.hearstapps.com/hmg-prod/images/workouts/2016/08/supermanw-1472154493.gif?crop=1xw:1xh;center,top&amp;resize=640:*" TargetMode="External"/><Relationship Id="rId71" Type="http://schemas.openxmlformats.org/officeDocument/2006/relationships/hyperlink" Target="https://www.youtube.com/shorts/MTWrCC1gTuU" TargetMode="External"/><Relationship Id="rId92" Type="http://schemas.openxmlformats.org/officeDocument/2006/relationships/drawing" Target="../drawings/drawing9.xml"/><Relationship Id="rId2" Type="http://schemas.openxmlformats.org/officeDocument/2006/relationships/hyperlink" Target="https://www.youtube.com/shorts/MTWrCC1gTuU" TargetMode="External"/><Relationship Id="rId29" Type="http://schemas.openxmlformats.org/officeDocument/2006/relationships/hyperlink" Target="https://www.youtube.com/shorts/ZP72SmuKOuE" TargetMode="External"/><Relationship Id="rId24" Type="http://schemas.openxmlformats.org/officeDocument/2006/relationships/hyperlink" Target="https://www.youtube.com/watch?v=bHO0A4ZF_Zg" TargetMode="External"/><Relationship Id="rId40" Type="http://schemas.openxmlformats.org/officeDocument/2006/relationships/hyperlink" Target="https://youtu.be/cmple9fw65w?si=U2DZCxFQHzfsk4O2&amp;t=9" TargetMode="External"/><Relationship Id="rId45" Type="http://schemas.openxmlformats.org/officeDocument/2006/relationships/hyperlink" Target="https://www.youtube.com/shorts/MTWrCC1gTuU" TargetMode="External"/><Relationship Id="rId66" Type="http://schemas.openxmlformats.org/officeDocument/2006/relationships/hyperlink" Target="https://youtu.be/cmple9fw65w?si=U2DZCxFQHzfsk4O2&amp;t=9" TargetMode="External"/><Relationship Id="rId87" Type="http://schemas.openxmlformats.org/officeDocument/2006/relationships/hyperlink" Target="https://www.youtube.com/watch?v=5QFjmotLfW4" TargetMode="External"/><Relationship Id="rId61" Type="http://schemas.openxmlformats.org/officeDocument/2006/relationships/hyperlink" Target="https://youtu.be/IjDmaCdUH0g?si=4bUDoax4RMNSfoMG" TargetMode="External"/><Relationship Id="rId82" Type="http://schemas.openxmlformats.org/officeDocument/2006/relationships/hyperlink" Target="https://www.youtube.com/shorts/mPg5_2oCrZE" TargetMode="External"/><Relationship Id="rId19" Type="http://schemas.openxmlformats.org/officeDocument/2006/relationships/hyperlink" Target="https://www.youtube.com/shorts/MTWrCC1gTu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C1EC9-29B9-4906-BCE6-8177D2C65F89}">
  <sheetPr codeName="Feuil1"/>
  <dimension ref="A1:V26"/>
  <sheetViews>
    <sheetView tabSelected="1" workbookViewId="0">
      <selection activeCell="C1" sqref="C1"/>
    </sheetView>
  </sheetViews>
  <sheetFormatPr baseColWidth="10" defaultRowHeight="15" x14ac:dyDescent="0.25"/>
  <cols>
    <col min="1" max="16384" width="11.42578125" style="1"/>
  </cols>
  <sheetData>
    <row r="1" spans="1:22" ht="23.25" x14ac:dyDescent="0.25">
      <c r="A1" s="139" t="s">
        <v>309</v>
      </c>
      <c r="B1" s="140"/>
      <c r="C1" s="140"/>
      <c r="D1" s="140"/>
      <c r="E1" s="140"/>
      <c r="F1" s="140"/>
      <c r="G1" s="140"/>
      <c r="H1" s="140"/>
      <c r="I1" s="140"/>
      <c r="J1" s="140"/>
      <c r="K1" s="140"/>
      <c r="L1" s="140"/>
      <c r="M1" s="140"/>
      <c r="N1" s="140"/>
      <c r="O1" s="140"/>
      <c r="P1" s="140"/>
      <c r="Q1" s="140"/>
      <c r="R1" s="140"/>
      <c r="S1" s="140"/>
      <c r="T1" s="140"/>
      <c r="U1" s="140"/>
      <c r="V1" s="140"/>
    </row>
    <row r="2" spans="1:22" x14ac:dyDescent="0.25">
      <c r="A2" s="140"/>
      <c r="B2" s="140"/>
      <c r="C2" s="140"/>
      <c r="D2" s="140"/>
      <c r="E2" s="140"/>
      <c r="F2" s="140"/>
      <c r="G2" s="140"/>
      <c r="H2" s="140"/>
      <c r="I2" s="140"/>
      <c r="J2" s="140"/>
      <c r="K2" s="140"/>
      <c r="L2" s="140"/>
      <c r="M2" s="140"/>
      <c r="N2" s="140"/>
      <c r="O2" s="140"/>
      <c r="P2" s="140"/>
      <c r="Q2" s="140"/>
      <c r="R2" s="140"/>
      <c r="S2" s="140"/>
      <c r="T2" s="140"/>
      <c r="U2" s="140"/>
      <c r="V2" s="140"/>
    </row>
    <row r="3" spans="1:22" x14ac:dyDescent="0.25">
      <c r="A3" s="141" t="s">
        <v>310</v>
      </c>
      <c r="B3" s="141"/>
      <c r="C3" s="142"/>
      <c r="D3" s="142"/>
      <c r="E3" s="142"/>
      <c r="F3" s="142"/>
      <c r="G3" s="142"/>
      <c r="H3" s="142"/>
      <c r="I3" s="142"/>
      <c r="J3" s="142"/>
      <c r="K3" s="142"/>
      <c r="L3" s="142"/>
      <c r="M3" s="142"/>
      <c r="N3" s="142"/>
      <c r="O3" s="142"/>
      <c r="P3" s="140"/>
      <c r="Q3" s="140"/>
      <c r="R3" s="140"/>
      <c r="S3" s="140"/>
      <c r="T3" s="140"/>
      <c r="U3" s="140"/>
      <c r="V3" s="140"/>
    </row>
    <row r="4" spans="1:22" x14ac:dyDescent="0.25">
      <c r="A4" s="141"/>
      <c r="B4" s="141"/>
      <c r="C4" s="142"/>
      <c r="D4" s="142"/>
      <c r="E4" s="142"/>
      <c r="F4" s="142"/>
      <c r="G4" s="142"/>
      <c r="H4" s="142"/>
      <c r="I4" s="142"/>
      <c r="J4" s="142"/>
      <c r="K4" s="142"/>
      <c r="L4" s="142"/>
      <c r="M4" s="142"/>
      <c r="N4" s="142"/>
      <c r="O4" s="142"/>
      <c r="P4" s="140"/>
      <c r="Q4" s="140"/>
      <c r="R4" s="140"/>
      <c r="S4" s="140"/>
      <c r="T4" s="140"/>
      <c r="U4" s="140"/>
      <c r="V4" s="140"/>
    </row>
    <row r="5" spans="1:22" x14ac:dyDescent="0.25">
      <c r="A5" s="141" t="s">
        <v>311</v>
      </c>
      <c r="B5" s="141"/>
      <c r="C5" s="142"/>
      <c r="D5" s="142"/>
      <c r="E5" s="142"/>
      <c r="F5" s="142"/>
      <c r="G5" s="142"/>
      <c r="H5" s="142"/>
      <c r="I5" s="142"/>
      <c r="J5" s="142"/>
      <c r="K5" s="142"/>
      <c r="L5" s="142"/>
      <c r="M5" s="142"/>
      <c r="N5" s="142"/>
      <c r="O5" s="142"/>
      <c r="P5" s="140"/>
      <c r="Q5" s="140"/>
      <c r="R5" s="140"/>
      <c r="S5" s="140"/>
      <c r="T5" s="140"/>
      <c r="U5" s="140"/>
      <c r="V5" s="140"/>
    </row>
    <row r="6" spans="1:22" x14ac:dyDescent="0.25">
      <c r="A6" s="141"/>
      <c r="B6" s="141"/>
      <c r="C6" s="142"/>
      <c r="D6" s="142"/>
      <c r="E6" s="142"/>
      <c r="F6" s="142"/>
      <c r="G6" s="142"/>
      <c r="H6" s="142"/>
      <c r="I6" s="142"/>
      <c r="J6" s="142"/>
      <c r="K6" s="142"/>
      <c r="L6" s="142"/>
      <c r="M6" s="142"/>
      <c r="N6" s="142"/>
      <c r="O6" s="142"/>
      <c r="P6" s="140"/>
      <c r="Q6" s="140"/>
      <c r="R6" s="140"/>
      <c r="S6" s="140"/>
      <c r="T6" s="140"/>
      <c r="U6" s="140"/>
      <c r="V6" s="140"/>
    </row>
    <row r="7" spans="1:22" x14ac:dyDescent="0.25">
      <c r="A7" s="141" t="s">
        <v>312</v>
      </c>
      <c r="B7" s="141"/>
      <c r="C7" s="142"/>
      <c r="D7" s="142"/>
      <c r="E7" s="142"/>
      <c r="F7" s="142"/>
      <c r="G7" s="142"/>
      <c r="H7" s="142"/>
      <c r="I7" s="142"/>
      <c r="J7" s="142"/>
      <c r="K7" s="142"/>
      <c r="L7" s="142"/>
      <c r="M7" s="142"/>
      <c r="N7" s="142"/>
      <c r="O7" s="142"/>
      <c r="P7" s="140"/>
      <c r="Q7" s="140"/>
      <c r="R7" s="140"/>
      <c r="S7" s="140"/>
      <c r="T7" s="140"/>
      <c r="U7" s="140"/>
      <c r="V7" s="140"/>
    </row>
    <row r="8" spans="1:22" x14ac:dyDescent="0.25">
      <c r="A8" s="141"/>
      <c r="B8" s="141"/>
      <c r="C8" s="142"/>
      <c r="D8" s="142"/>
      <c r="E8" s="142"/>
      <c r="F8" s="142"/>
      <c r="G8" s="142"/>
      <c r="H8" s="142"/>
      <c r="I8" s="142"/>
      <c r="J8" s="142"/>
      <c r="K8" s="142"/>
      <c r="L8" s="142"/>
      <c r="M8" s="142"/>
      <c r="N8" s="142"/>
      <c r="O8" s="142"/>
      <c r="P8" s="140"/>
      <c r="Q8" s="140"/>
      <c r="R8" s="140"/>
      <c r="S8" s="140"/>
      <c r="T8" s="140"/>
      <c r="U8" s="140"/>
      <c r="V8" s="140"/>
    </row>
    <row r="9" spans="1:22" x14ac:dyDescent="0.25">
      <c r="A9" s="141" t="s">
        <v>313</v>
      </c>
      <c r="B9" s="141"/>
      <c r="C9" s="142"/>
      <c r="D9" s="142"/>
      <c r="E9" s="142"/>
      <c r="F9" s="142"/>
      <c r="G9" s="142"/>
      <c r="H9" s="142"/>
      <c r="I9" s="142"/>
      <c r="J9" s="142"/>
      <c r="K9" s="142"/>
      <c r="L9" s="142"/>
      <c r="M9" s="142"/>
      <c r="N9" s="142"/>
      <c r="O9" s="142"/>
      <c r="P9" s="140"/>
      <c r="Q9" s="140"/>
      <c r="R9" s="140"/>
      <c r="S9" s="140"/>
      <c r="T9" s="140"/>
      <c r="U9" s="140"/>
      <c r="V9" s="140"/>
    </row>
    <row r="10" spans="1:22" x14ac:dyDescent="0.25">
      <c r="A10" s="141"/>
      <c r="B10" s="141"/>
      <c r="C10" s="142"/>
      <c r="D10" s="142"/>
      <c r="E10" s="142"/>
      <c r="F10" s="142"/>
      <c r="G10" s="142"/>
      <c r="H10" s="142"/>
      <c r="I10" s="142"/>
      <c r="J10" s="142"/>
      <c r="K10" s="142"/>
      <c r="L10" s="142"/>
      <c r="M10" s="142"/>
      <c r="N10" s="142"/>
      <c r="O10" s="142"/>
      <c r="P10" s="140"/>
      <c r="Q10" s="140"/>
      <c r="R10" s="140"/>
      <c r="S10" s="140"/>
      <c r="T10" s="140"/>
      <c r="U10" s="140"/>
      <c r="V10" s="140"/>
    </row>
    <row r="11" spans="1:22" x14ac:dyDescent="0.25">
      <c r="A11" s="143" t="s">
        <v>314</v>
      </c>
      <c r="B11" s="141"/>
      <c r="C11" s="142"/>
      <c r="D11" s="142"/>
      <c r="E11" s="142"/>
      <c r="F11" s="142"/>
      <c r="G11" s="142"/>
      <c r="H11" s="142"/>
      <c r="I11" s="142"/>
      <c r="J11" s="142"/>
      <c r="K11" s="142"/>
      <c r="L11" s="142"/>
      <c r="M11" s="142"/>
      <c r="N11" s="142"/>
      <c r="O11" s="142"/>
      <c r="P11" s="140"/>
      <c r="Q11" s="140"/>
      <c r="R11" s="140"/>
      <c r="S11" s="140"/>
      <c r="T11" s="140"/>
      <c r="U11" s="140"/>
      <c r="V11" s="140"/>
    </row>
    <row r="12" spans="1:22" x14ac:dyDescent="0.25">
      <c r="A12" s="141"/>
      <c r="B12" s="141"/>
      <c r="C12" s="142"/>
      <c r="D12" s="142"/>
      <c r="E12" s="142"/>
      <c r="F12" s="142"/>
      <c r="G12" s="142"/>
      <c r="H12" s="142"/>
      <c r="I12" s="142"/>
      <c r="J12" s="142"/>
      <c r="K12" s="142"/>
      <c r="L12" s="142"/>
      <c r="M12" s="142"/>
      <c r="N12" s="142"/>
      <c r="O12" s="142"/>
      <c r="P12" s="140"/>
      <c r="Q12" s="140"/>
      <c r="R12" s="140"/>
      <c r="S12" s="140"/>
      <c r="T12" s="140"/>
      <c r="U12" s="140"/>
      <c r="V12" s="140"/>
    </row>
    <row r="13" spans="1:22" x14ac:dyDescent="0.25">
      <c r="A13" s="141" t="s">
        <v>317</v>
      </c>
      <c r="B13" s="141"/>
      <c r="C13" s="142"/>
      <c r="D13" s="142"/>
      <c r="E13" s="142"/>
      <c r="F13" s="142"/>
      <c r="G13" s="142"/>
      <c r="H13" s="142"/>
      <c r="I13" s="142"/>
      <c r="J13" s="142"/>
      <c r="K13" s="142"/>
      <c r="L13" s="142"/>
      <c r="M13" s="142"/>
      <c r="N13" s="142"/>
      <c r="O13" s="142"/>
      <c r="P13" s="140"/>
      <c r="Q13" s="140"/>
      <c r="R13" s="140"/>
      <c r="S13" s="140"/>
      <c r="T13" s="140"/>
      <c r="U13" s="140"/>
      <c r="V13" s="140"/>
    </row>
    <row r="14" spans="1:22" x14ac:dyDescent="0.25">
      <c r="A14" s="141"/>
      <c r="B14" s="141"/>
      <c r="C14" s="142"/>
      <c r="D14" s="142"/>
      <c r="E14" s="142"/>
      <c r="F14" s="142"/>
      <c r="G14" s="142"/>
      <c r="H14" s="142"/>
      <c r="I14" s="142"/>
      <c r="J14" s="142"/>
      <c r="K14" s="142"/>
      <c r="L14" s="142"/>
      <c r="M14" s="142"/>
      <c r="N14" s="142"/>
      <c r="O14" s="142"/>
      <c r="P14" s="140"/>
      <c r="Q14" s="140"/>
      <c r="R14" s="140"/>
      <c r="S14" s="140"/>
      <c r="T14" s="140"/>
      <c r="U14" s="140"/>
      <c r="V14" s="140"/>
    </row>
    <row r="15" spans="1:22" x14ac:dyDescent="0.25">
      <c r="A15" s="144" t="s">
        <v>318</v>
      </c>
      <c r="B15" s="141"/>
      <c r="C15" s="142"/>
      <c r="D15" s="142"/>
      <c r="E15" s="142"/>
      <c r="F15" s="142"/>
      <c r="G15" s="142"/>
      <c r="H15" s="142"/>
      <c r="I15" s="142"/>
      <c r="J15" s="142"/>
      <c r="K15" s="142"/>
      <c r="L15" s="142"/>
      <c r="M15" s="142"/>
      <c r="N15" s="142"/>
      <c r="O15" s="142"/>
      <c r="P15" s="140"/>
      <c r="Q15" s="140"/>
      <c r="R15" s="140"/>
      <c r="S15" s="140"/>
      <c r="T15" s="140"/>
      <c r="U15" s="140"/>
      <c r="V15" s="140"/>
    </row>
    <row r="16" spans="1:22" x14ac:dyDescent="0.25">
      <c r="A16" s="141"/>
      <c r="B16" s="141"/>
      <c r="C16" s="142"/>
      <c r="D16" s="142"/>
      <c r="E16" s="142"/>
      <c r="F16" s="142"/>
      <c r="G16" s="142"/>
      <c r="H16" s="142"/>
      <c r="I16" s="142"/>
      <c r="J16" s="142"/>
      <c r="K16" s="142"/>
      <c r="L16" s="142"/>
      <c r="M16" s="142"/>
      <c r="N16" s="142"/>
      <c r="O16" s="142"/>
      <c r="P16" s="140"/>
      <c r="Q16" s="140"/>
      <c r="R16" s="140"/>
      <c r="S16" s="140"/>
      <c r="T16" s="140"/>
      <c r="U16" s="140"/>
      <c r="V16" s="140"/>
    </row>
    <row r="17" spans="1:22" x14ac:dyDescent="0.25">
      <c r="A17" s="143" t="s">
        <v>315</v>
      </c>
      <c r="B17" s="141"/>
      <c r="C17" s="142"/>
      <c r="D17" s="142"/>
      <c r="E17" s="142"/>
      <c r="F17" s="142"/>
      <c r="G17" s="142"/>
      <c r="H17" s="142"/>
      <c r="I17" s="142"/>
      <c r="J17" s="142"/>
      <c r="K17" s="142"/>
      <c r="L17" s="142"/>
      <c r="M17" s="142"/>
      <c r="N17" s="142"/>
      <c r="O17" s="142"/>
      <c r="P17" s="140"/>
      <c r="Q17" s="140"/>
      <c r="R17" s="140"/>
      <c r="S17" s="140"/>
      <c r="T17" s="140"/>
      <c r="U17" s="140"/>
      <c r="V17" s="140"/>
    </row>
    <row r="18" spans="1:22" x14ac:dyDescent="0.25">
      <c r="A18" s="145"/>
      <c r="B18" s="141"/>
      <c r="C18" s="142"/>
      <c r="D18" s="142"/>
      <c r="E18" s="142"/>
      <c r="F18" s="142"/>
      <c r="G18" s="142"/>
      <c r="H18" s="142"/>
      <c r="I18" s="142"/>
      <c r="J18" s="142"/>
      <c r="K18" s="142"/>
      <c r="L18" s="142"/>
      <c r="M18" s="142"/>
      <c r="N18" s="142"/>
      <c r="O18" s="142"/>
      <c r="P18" s="140"/>
      <c r="Q18" s="140"/>
      <c r="R18" s="140"/>
      <c r="S18" s="140"/>
      <c r="T18" s="140"/>
      <c r="U18" s="140"/>
      <c r="V18" s="140"/>
    </row>
    <row r="19" spans="1:22" x14ac:dyDescent="0.25">
      <c r="A19" s="146" t="s">
        <v>323</v>
      </c>
      <c r="B19" s="141"/>
      <c r="C19" s="142"/>
      <c r="D19" s="142"/>
      <c r="E19" s="142"/>
      <c r="F19" s="142"/>
      <c r="G19" s="142"/>
      <c r="H19" s="142"/>
      <c r="I19" s="142"/>
      <c r="J19" s="142"/>
      <c r="K19" s="142"/>
      <c r="L19" s="142"/>
      <c r="M19" s="142"/>
      <c r="N19" s="142"/>
      <c r="O19" s="142"/>
      <c r="P19" s="140"/>
      <c r="Q19" s="140"/>
      <c r="R19" s="140"/>
      <c r="S19" s="140"/>
      <c r="T19" s="140"/>
      <c r="U19" s="140"/>
      <c r="V19" s="140"/>
    </row>
    <row r="20" spans="1:22" x14ac:dyDescent="0.25">
      <c r="A20" s="146" t="s">
        <v>319</v>
      </c>
      <c r="B20" s="141"/>
      <c r="C20" s="142"/>
      <c r="D20" s="142"/>
      <c r="E20" s="142"/>
      <c r="F20" s="142"/>
      <c r="G20" s="142"/>
      <c r="H20" s="142"/>
      <c r="I20" s="142"/>
      <c r="J20" s="142"/>
      <c r="K20" s="142"/>
      <c r="L20" s="142"/>
      <c r="M20" s="142"/>
      <c r="N20" s="142"/>
      <c r="O20" s="142"/>
      <c r="P20" s="140"/>
      <c r="Q20" s="140"/>
      <c r="R20" s="140"/>
      <c r="S20" s="140"/>
      <c r="T20" s="140"/>
      <c r="U20" s="140"/>
      <c r="V20" s="140"/>
    </row>
    <row r="21" spans="1:22" x14ac:dyDescent="0.25">
      <c r="A21" s="146" t="s">
        <v>320</v>
      </c>
      <c r="B21" s="141"/>
      <c r="C21" s="142"/>
      <c r="D21" s="142"/>
      <c r="E21" s="142"/>
      <c r="F21" s="142"/>
      <c r="G21" s="142"/>
      <c r="H21" s="142"/>
      <c r="I21" s="142"/>
      <c r="J21" s="142"/>
      <c r="K21" s="142"/>
      <c r="L21" s="142"/>
      <c r="M21" s="142"/>
      <c r="N21" s="142"/>
      <c r="O21" s="142"/>
      <c r="P21" s="140"/>
      <c r="Q21" s="140"/>
      <c r="R21" s="140"/>
      <c r="S21" s="140"/>
      <c r="T21" s="140"/>
      <c r="U21" s="140"/>
      <c r="V21" s="140"/>
    </row>
    <row r="22" spans="1:22" x14ac:dyDescent="0.25">
      <c r="A22" s="146" t="s">
        <v>321</v>
      </c>
      <c r="B22" s="141"/>
      <c r="C22" s="142"/>
      <c r="D22" s="142"/>
      <c r="E22" s="142"/>
      <c r="F22" s="142"/>
      <c r="G22" s="142"/>
      <c r="H22" s="142"/>
      <c r="I22" s="142"/>
      <c r="J22" s="142"/>
      <c r="K22" s="142"/>
      <c r="L22" s="142"/>
      <c r="M22" s="142"/>
      <c r="N22" s="142"/>
      <c r="O22" s="142"/>
      <c r="P22" s="140"/>
      <c r="Q22" s="140"/>
      <c r="R22" s="140"/>
      <c r="S22" s="140"/>
      <c r="T22" s="140"/>
      <c r="U22" s="140"/>
      <c r="V22" s="140"/>
    </row>
    <row r="23" spans="1:22" x14ac:dyDescent="0.25">
      <c r="A23" s="146" t="s">
        <v>322</v>
      </c>
      <c r="B23" s="141"/>
      <c r="C23" s="142"/>
      <c r="D23" s="142"/>
      <c r="E23" s="142"/>
      <c r="F23" s="142"/>
      <c r="G23" s="142"/>
      <c r="H23" s="142"/>
      <c r="I23" s="142"/>
      <c r="J23" s="142"/>
      <c r="K23" s="142"/>
      <c r="L23" s="142"/>
      <c r="M23" s="142"/>
      <c r="N23" s="142"/>
      <c r="O23" s="142"/>
      <c r="P23" s="140"/>
      <c r="Q23" s="140"/>
      <c r="R23" s="140"/>
      <c r="S23" s="140"/>
      <c r="T23" s="140"/>
      <c r="U23" s="140"/>
      <c r="V23" s="140"/>
    </row>
    <row r="24" spans="1:22" x14ac:dyDescent="0.25">
      <c r="A24" s="141"/>
      <c r="B24" s="141"/>
      <c r="C24" s="142"/>
      <c r="D24" s="142"/>
      <c r="E24" s="142"/>
      <c r="F24" s="142"/>
      <c r="G24" s="142"/>
      <c r="H24" s="142"/>
      <c r="I24" s="142"/>
      <c r="J24" s="142"/>
      <c r="K24" s="142"/>
      <c r="L24" s="142"/>
      <c r="M24" s="142"/>
      <c r="N24" s="142"/>
      <c r="O24" s="142"/>
      <c r="P24" s="140"/>
      <c r="Q24" s="140"/>
      <c r="R24" s="140"/>
      <c r="S24" s="140"/>
      <c r="T24" s="140"/>
      <c r="U24" s="140"/>
      <c r="V24" s="140"/>
    </row>
    <row r="25" spans="1:22" x14ac:dyDescent="0.25">
      <c r="A25" s="141" t="s">
        <v>316</v>
      </c>
      <c r="B25" s="141"/>
      <c r="C25" s="142"/>
      <c r="D25" s="142"/>
      <c r="E25" s="142"/>
      <c r="F25" s="142"/>
      <c r="G25" s="142"/>
      <c r="H25" s="142"/>
      <c r="I25" s="142"/>
      <c r="J25" s="142"/>
      <c r="K25" s="142"/>
      <c r="L25" s="142"/>
      <c r="M25" s="142"/>
      <c r="N25" s="142"/>
      <c r="O25" s="142"/>
      <c r="P25" s="140"/>
      <c r="Q25" s="140"/>
      <c r="R25" s="140"/>
      <c r="S25" s="140"/>
      <c r="T25" s="140"/>
      <c r="U25" s="140"/>
      <c r="V25" s="140"/>
    </row>
    <row r="26" spans="1:22" x14ac:dyDescent="0.25">
      <c r="A26" s="140"/>
      <c r="B26" s="140"/>
      <c r="C26" s="140"/>
      <c r="D26" s="140"/>
      <c r="E26" s="140"/>
      <c r="F26" s="140"/>
      <c r="G26" s="140"/>
      <c r="H26" s="140"/>
      <c r="I26" s="140"/>
      <c r="J26" s="140"/>
      <c r="K26" s="140"/>
      <c r="L26" s="140"/>
      <c r="M26" s="140"/>
      <c r="N26" s="140"/>
      <c r="O26" s="140"/>
      <c r="P26" s="140"/>
      <c r="Q26" s="140"/>
      <c r="R26" s="140"/>
      <c r="S26" s="140"/>
      <c r="T26" s="140"/>
      <c r="U26" s="140"/>
      <c r="V26" s="140"/>
    </row>
  </sheetData>
  <sheetProtection algorithmName="SHA-512" hashValue="fSxVg5/sizvTBthABvkrkcpvEXeOIiXvLlsSsT0eHlQRy7yJ8sqcU4Mc3ZULmIGPkh0jzn8uvqnWLut1COK1Qw==" saltValue="f+i46FDxjSbSuMyGfBDXUA==" spinCount="100000" sheet="1" objects="1" scenarios="1"/>
  <hyperlinks>
    <hyperlink ref="A15" r:id="rId1" xr:uid="{3077F175-9069-4848-A7BB-DB2875EBC0F9}"/>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40223-FD1C-40F5-854C-130E8A968BD5}">
  <dimension ref="A1:O124"/>
  <sheetViews>
    <sheetView workbookViewId="0">
      <selection activeCell="B9" sqref="B9"/>
    </sheetView>
  </sheetViews>
  <sheetFormatPr baseColWidth="10" defaultRowHeight="15" x14ac:dyDescent="0.25"/>
  <cols>
    <col min="1" max="1" width="56" style="1" customWidth="1"/>
    <col min="2" max="2" width="16.42578125" style="1" customWidth="1"/>
    <col min="3" max="3" width="11.42578125" style="1"/>
    <col min="4" max="5" width="32.140625" style="1" bestFit="1" customWidth="1"/>
    <col min="6" max="6" width="11.28515625" style="1" bestFit="1" customWidth="1"/>
    <col min="7" max="7" width="14.28515625" style="1" bestFit="1" customWidth="1"/>
    <col min="8" max="8" width="52.5703125" style="1" bestFit="1" customWidth="1"/>
    <col min="9" max="11" width="11.42578125" style="1"/>
    <col min="12" max="12" width="73.28515625" style="1" customWidth="1"/>
    <col min="13" max="13" width="17.28515625" style="1" hidden="1" customWidth="1"/>
    <col min="14" max="15" width="0" style="1" hidden="1" customWidth="1"/>
    <col min="16" max="16384" width="11.42578125" style="1"/>
  </cols>
  <sheetData>
    <row r="1" spans="1:15" ht="15.75" x14ac:dyDescent="0.25">
      <c r="A1" s="106" t="s">
        <v>392</v>
      </c>
      <c r="B1" s="106"/>
      <c r="C1" s="106"/>
      <c r="M1" s="62" t="s">
        <v>147</v>
      </c>
      <c r="N1" s="62" t="s">
        <v>8</v>
      </c>
      <c r="O1" s="62" t="s">
        <v>9</v>
      </c>
    </row>
    <row r="2" spans="1:15" x14ac:dyDescent="0.25">
      <c r="A2" s="211" t="s">
        <v>393</v>
      </c>
      <c r="B2" s="211"/>
      <c r="C2" s="211"/>
      <c r="D2" s="211"/>
      <c r="E2" s="211"/>
      <c r="F2" s="211"/>
      <c r="G2" s="211"/>
      <c r="H2" s="211"/>
      <c r="I2" s="211"/>
      <c r="M2" s="62"/>
      <c r="N2" s="62"/>
      <c r="O2" s="62"/>
    </row>
    <row r="3" spans="1:15" x14ac:dyDescent="0.25">
      <c r="A3" s="211" t="s">
        <v>398</v>
      </c>
      <c r="B3" s="211"/>
      <c r="C3" s="211"/>
      <c r="D3" s="211"/>
      <c r="E3" s="211"/>
      <c r="F3" s="211"/>
      <c r="G3" s="211"/>
      <c r="H3" s="211"/>
      <c r="I3" s="211"/>
      <c r="M3" s="62" t="s">
        <v>10</v>
      </c>
      <c r="N3" s="62" t="s">
        <v>22</v>
      </c>
      <c r="O3" s="99" t="s">
        <v>29</v>
      </c>
    </row>
    <row r="4" spans="1:15" x14ac:dyDescent="0.25">
      <c r="A4" s="211" t="s">
        <v>285</v>
      </c>
      <c r="B4" s="211"/>
      <c r="C4" s="211"/>
      <c r="D4" s="211"/>
      <c r="E4" s="211"/>
      <c r="F4" s="211"/>
      <c r="G4" s="211"/>
      <c r="H4" s="211"/>
      <c r="I4" s="211"/>
      <c r="M4" s="99" t="s">
        <v>11</v>
      </c>
      <c r="N4" s="99" t="s">
        <v>23</v>
      </c>
      <c r="O4" s="99" t="s">
        <v>30</v>
      </c>
    </row>
    <row r="5" spans="1:15" x14ac:dyDescent="0.25">
      <c r="A5" s="11" t="s">
        <v>308</v>
      </c>
      <c r="B5" s="11"/>
      <c r="C5" s="11"/>
      <c r="M5" s="99" t="s">
        <v>12</v>
      </c>
      <c r="N5" s="99" t="s">
        <v>24</v>
      </c>
      <c r="O5" s="99" t="s">
        <v>31</v>
      </c>
    </row>
    <row r="6" spans="1:15" x14ac:dyDescent="0.25">
      <c r="A6" s="176" t="s">
        <v>129</v>
      </c>
      <c r="B6" s="176"/>
      <c r="C6" s="176"/>
      <c r="M6" s="99" t="s">
        <v>13</v>
      </c>
      <c r="N6" s="99" t="s">
        <v>25</v>
      </c>
      <c r="O6" s="99" t="s">
        <v>32</v>
      </c>
    </row>
    <row r="7" spans="1:15" x14ac:dyDescent="0.25">
      <c r="A7" s="176"/>
      <c r="B7" s="176"/>
      <c r="C7" s="176"/>
      <c r="M7" s="99" t="s">
        <v>14</v>
      </c>
      <c r="N7" s="99" t="s">
        <v>26</v>
      </c>
      <c r="O7" s="99" t="s">
        <v>33</v>
      </c>
    </row>
    <row r="8" spans="1:15" x14ac:dyDescent="0.25">
      <c r="A8" s="238" t="s">
        <v>383</v>
      </c>
      <c r="B8" s="239"/>
      <c r="M8" s="99" t="s">
        <v>15</v>
      </c>
      <c r="N8" s="99" t="s">
        <v>27</v>
      </c>
      <c r="O8" s="99" t="s">
        <v>34</v>
      </c>
    </row>
    <row r="9" spans="1:15" x14ac:dyDescent="0.25">
      <c r="A9" s="244" t="s">
        <v>155</v>
      </c>
      <c r="B9" s="245"/>
      <c r="M9" s="99" t="s">
        <v>16</v>
      </c>
      <c r="N9" s="99" t="s">
        <v>13</v>
      </c>
      <c r="O9" s="99" t="s">
        <v>35</v>
      </c>
    </row>
    <row r="10" spans="1:15" x14ac:dyDescent="0.25">
      <c r="A10" s="246" t="s">
        <v>328</v>
      </c>
      <c r="B10" s="247"/>
      <c r="M10" s="99" t="s">
        <v>17</v>
      </c>
      <c r="N10" s="99" t="s">
        <v>14</v>
      </c>
      <c r="O10" s="99" t="s">
        <v>36</v>
      </c>
    </row>
    <row r="11" spans="1:15" x14ac:dyDescent="0.25">
      <c r="A11" s="246" t="s">
        <v>394</v>
      </c>
      <c r="B11" s="247"/>
      <c r="M11" s="99" t="s">
        <v>18</v>
      </c>
      <c r="N11" s="99" t="s">
        <v>15</v>
      </c>
      <c r="O11" s="99" t="s">
        <v>37</v>
      </c>
    </row>
    <row r="12" spans="1:15" ht="15.75" thickBot="1" x14ac:dyDescent="0.3">
      <c r="A12" s="242" t="s">
        <v>277</v>
      </c>
      <c r="B12" s="243"/>
      <c r="M12" s="99" t="s">
        <v>19</v>
      </c>
      <c r="N12" s="99" t="s">
        <v>16</v>
      </c>
      <c r="O12" s="99" t="s">
        <v>38</v>
      </c>
    </row>
    <row r="13" spans="1:15" x14ac:dyDescent="0.25">
      <c r="M13" s="99" t="s">
        <v>20</v>
      </c>
      <c r="N13" s="99" t="s">
        <v>28</v>
      </c>
      <c r="O13" s="99" t="s">
        <v>39</v>
      </c>
    </row>
    <row r="14" spans="1:15" ht="15.75" thickBot="1" x14ac:dyDescent="0.3">
      <c r="A14" s="238" t="s">
        <v>384</v>
      </c>
      <c r="B14" s="239"/>
      <c r="M14" s="99" t="s">
        <v>21</v>
      </c>
      <c r="N14" s="62"/>
      <c r="O14" s="99" t="s">
        <v>40</v>
      </c>
    </row>
    <row r="15" spans="1:15" x14ac:dyDescent="0.25">
      <c r="A15" s="250" t="s">
        <v>379</v>
      </c>
      <c r="B15" s="254"/>
      <c r="M15" s="62"/>
      <c r="N15" s="62"/>
      <c r="O15" s="99" t="s">
        <v>41</v>
      </c>
    </row>
    <row r="16" spans="1:15" x14ac:dyDescent="0.25">
      <c r="A16" s="258" t="s">
        <v>148</v>
      </c>
      <c r="B16" s="255"/>
      <c r="M16" s="62"/>
      <c r="N16" s="62"/>
      <c r="O16" s="99" t="s">
        <v>42</v>
      </c>
    </row>
    <row r="17" spans="1:8" x14ac:dyDescent="0.25">
      <c r="A17" s="248" t="s">
        <v>147</v>
      </c>
      <c r="B17" s="256"/>
    </row>
    <row r="18" spans="1:8" x14ac:dyDescent="0.25">
      <c r="A18" s="246" t="s">
        <v>327</v>
      </c>
      <c r="B18" s="257"/>
    </row>
    <row r="19" spans="1:8" x14ac:dyDescent="0.25">
      <c r="A19" s="258" t="s">
        <v>164</v>
      </c>
      <c r="B19" s="255"/>
      <c r="C19" s="8" t="s">
        <v>279</v>
      </c>
    </row>
    <row r="21" spans="1:8" x14ac:dyDescent="0.25">
      <c r="A21" s="238" t="s">
        <v>385</v>
      </c>
      <c r="B21" s="239"/>
    </row>
    <row r="22" spans="1:8" x14ac:dyDescent="0.25">
      <c r="A22" s="260" t="s">
        <v>302</v>
      </c>
      <c r="B22" s="259"/>
    </row>
    <row r="23" spans="1:8" x14ac:dyDescent="0.25">
      <c r="A23" s="258" t="s">
        <v>166</v>
      </c>
      <c r="B23" s="255"/>
    </row>
    <row r="24" spans="1:8" x14ac:dyDescent="0.25">
      <c r="A24" s="258" t="s">
        <v>174</v>
      </c>
      <c r="B24" s="255"/>
    </row>
    <row r="25" spans="1:8" x14ac:dyDescent="0.25">
      <c r="A25" s="258" t="s">
        <v>171</v>
      </c>
      <c r="B25" s="255"/>
    </row>
    <row r="26" spans="1:8" ht="15.75" thickBot="1" x14ac:dyDescent="0.3">
      <c r="A26" s="242" t="s">
        <v>161</v>
      </c>
      <c r="B26" s="261"/>
    </row>
    <row r="29" spans="1:8" ht="15.75" thickBot="1" x14ac:dyDescent="0.3">
      <c r="A29" s="213" t="s">
        <v>0</v>
      </c>
      <c r="B29" s="213"/>
      <c r="C29" s="213"/>
      <c r="D29" s="213"/>
      <c r="E29" s="213"/>
      <c r="F29" s="213"/>
      <c r="G29" s="213"/>
      <c r="H29" s="213"/>
    </row>
    <row r="30" spans="1:8" x14ac:dyDescent="0.25">
      <c r="A30" s="72" t="s">
        <v>386</v>
      </c>
      <c r="B30" s="208" t="s">
        <v>324</v>
      </c>
      <c r="C30" s="209"/>
      <c r="D30" s="209"/>
      <c r="E30" s="209"/>
      <c r="H30" s="147" t="s">
        <v>325</v>
      </c>
    </row>
    <row r="31" spans="1:8" x14ac:dyDescent="0.25">
      <c r="A31" s="73" t="s">
        <v>2</v>
      </c>
      <c r="B31" s="74" t="s">
        <v>3</v>
      </c>
      <c r="C31" s="74" t="s">
        <v>4</v>
      </c>
      <c r="D31" s="74" t="s">
        <v>5</v>
      </c>
      <c r="E31" s="74" t="s">
        <v>6</v>
      </c>
      <c r="F31" s="74" t="s">
        <v>124</v>
      </c>
      <c r="G31" s="74" t="s">
        <v>125</v>
      </c>
      <c r="H31" s="74" t="s">
        <v>123</v>
      </c>
    </row>
    <row r="32" spans="1:8" x14ac:dyDescent="0.25">
      <c r="A32" s="246" t="s">
        <v>155</v>
      </c>
      <c r="B32" s="65">
        <f>IF(B9=N3,"2",IF(B9=N4,"4",IF(B9=N5,"2",IF(B9=N6,"3",IF(B9=N7,6,IF(B9=N8,8,IF(B9=N9,12,IF(B9=N10,16,IF(B9=N11,20,IF(B9=N12,23,IF(B9=N13,25,0)))))))))))</f>
        <v>0</v>
      </c>
      <c r="C32" s="65">
        <f>IF(B9=N3,"7",IF(B9=N4,"9",IF(B9=N5,"3",IF(B9=N6,"5",IF(B9=N7,8,IF(B9=N8,11,IF(B9=N9,16,IF(B9=N10,18,IF(B9=N11,25,IF(B9=N12,27,IF(B9=N13,28,0)))))))))))</f>
        <v>0</v>
      </c>
      <c r="D32" s="65">
        <f>IF(B9=N3,"5",IF(B9=N4,"6",IF(B9=N5,"2",IF(B9=N6,"3",IF(B9=N7,6,IF(B9=N8,8,IF(B9=N9,12,IF(B9=N10,15,IF(B9=N11,19,IF(B9=N12,22,IF(B9=N13,24,0)))))))))))</f>
        <v>0</v>
      </c>
      <c r="E32" s="65">
        <f>IF(B9=N3,"6",IF(B9=N4,"7",IF(B9=N5,"Max de répétitions et minimum 3",IF(B9=N6,"Max de répétitions et minimum 4",IF(B9=N7,"Max de répétitions et minimum 7",IF(B9=N8,"Max de répétitions et minimum 9",IF(B9=N9,"Max de répétitions et minimum 13",IF(B9=N10,"Max de répétitions et minimum 16",IF(B9=N11,"Max de répétitions et minimum 20",IF(B9=N12,"Max de répétitions et minimum 21",IF(B9=N13,"Max de répétitions et minimum 25",0)))))))))))</f>
        <v>0</v>
      </c>
      <c r="F32" s="68" t="s">
        <v>128</v>
      </c>
      <c r="G32" s="68" t="s">
        <v>128</v>
      </c>
      <c r="H32" s="67" t="str">
        <f>IF(OR(B9=N3,B9=N4),"Toutes les répétitions en excentrique","")</f>
        <v/>
      </c>
    </row>
    <row r="33" spans="1:8" x14ac:dyDescent="0.25">
      <c r="A33" s="246" t="s">
        <v>328</v>
      </c>
      <c r="B33" s="68">
        <f>IF(B10=N3,"2",IF(B10=N4,"3",IF(B10=N5,"2",IF(B10=N6,"3",IF(B10=N7,6,IF(B10=N8,8,IF(B10=N9,12,IF(B10=N10,16,IF(B10=N11,20,IF(B10=N12,23,IF(B10=N13,25,0)))))))))))</f>
        <v>0</v>
      </c>
      <c r="C33" s="68">
        <f>IF(B10=N3,"3",IF(B10=N4,"2",IF(B10=N5,"3",IF(B10=N6,"5",IF(B10=N7,8,IF(B10=N8,11,IF(B10=N9,16,IF(B10=N10,18,IF(B10=N11,25,IF(B10=N12,27,IF(B10=N13,28,0)))))))))))</f>
        <v>0</v>
      </c>
      <c r="D33" s="68">
        <f>IF(B10=N3,"2",IF(B10=N4,"3",IF(B10=N5,"2",IF(B10=N6,"3",IF(B10=N7,6,IF(B10=N8,8,IF(B10=N9,12,IF(B10=N10,15,IF(B10=N11,19,IF(B10=N12,22,IF(B10=N13,24,0)))))))))))</f>
        <v>0</v>
      </c>
      <c r="E33" s="68">
        <f>IF(B10=N3,"Max de répétitions",IF(B10=N4,"Max de répétitions",IF(B10=N5,"Max de répétitions et minimum 3",IF(B10=N6,"Max de répétitions et minimum 4",IF(B10=N7,"Max de répétitions et minimum 7",IF(B10=N8,"Max de répétitions et minimum 9",IF(B10=N9,"Max de répétitions et minimum 13",IF(B10=N10,"Max de répétitions et minimum 16",IF(B10=N11,"Max de répétitions et minimum 20",IF(B10=N12,"Max de répétitions et minimum 21",IF(B10=N13,"Max de répétitions et minimum 25",0)))))))))))</f>
        <v>0</v>
      </c>
      <c r="F33" s="68" t="s">
        <v>128</v>
      </c>
      <c r="G33" s="68" t="s">
        <v>128</v>
      </c>
      <c r="H33" s="69"/>
    </row>
    <row r="34" spans="1:8" x14ac:dyDescent="0.25">
      <c r="A34" s="246" t="s">
        <v>394</v>
      </c>
      <c r="B34" s="68">
        <f>IF(B11=N3,"2",IF(B11=N4,"3",IF(B11=N5,"2",IF(B11=N6,"3",IF(B11=N7,6,IF(B11=N8,8,IF(B11=N9,12,IF(B11=N10,16,IF(B11=N11,20,IF(B11=N12,23,IF(B11=N13,25,0)))))))))))</f>
        <v>0</v>
      </c>
      <c r="C34" s="68">
        <f>IF(B11=N3,"3",IF(B11=N4,"2",IF(B11=N5,"3",IF(B11=N6,"5",IF(B11=N7,8,IF(B11=N8,11,IF(B11=N9,16,IF(B11=N10,18,IF(B11=N11,25,IF(B11=N12,27,IF(B11=N13,28,0)))))))))))</f>
        <v>0</v>
      </c>
      <c r="D34" s="68">
        <f>IF(B11=N3,"Max de répétitions",IF(B11=N4,"Max de répétitions",IF(B11=N5,"Max de répétitions et minimum 3",IF(B11=N6,"Max de répétitions et minimum 4",IF(B11=N7,"Max de répétitions et minimum 7",IF(B11=N8,"Max de répétitions et minimum 9",IF(B11=N9,"Max de répétitions et minimum 13",IF(B11=N10,"Max de répétitions et minimum 16",IF(B11=N11,"Max de répétitions et minimum 20",IF(B11=N12,"Max de répétitions et minimum 21",IF(B11=N13,"Max de répétitions et minimum 25",0)))))))))))</f>
        <v>0</v>
      </c>
      <c r="E34" s="112"/>
      <c r="F34" s="68" t="s">
        <v>128</v>
      </c>
      <c r="G34" s="68" t="s">
        <v>128</v>
      </c>
      <c r="H34" s="69"/>
    </row>
    <row r="35" spans="1:8" ht="15.75" thickBot="1" x14ac:dyDescent="0.3">
      <c r="A35" s="242" t="s">
        <v>277</v>
      </c>
      <c r="B35" s="68">
        <f>IF(B12=N3,"2",IF(B12=N4,"3",IF(B12=N5,"2",IF(B12=N6,"3",IF(B12=N7,6,IF(B12=N8,8,IF(B12=N9,12,IF(B12=N10,16,IF(B12=N11,20,IF(B12=N12,23,IF(B12=N13,25,0)))))))))))</f>
        <v>0</v>
      </c>
      <c r="C35" s="68">
        <f>IF(B12=N3,"3",IF(B12=N4,"2",IF(B12=N5,"3",IF(B12=N6,"5",IF(B12=N7,8,IF(B12=N8,11,IF(B12=N9,16,IF(B12=N10,18,IF(B12=N11,25,IF(B12=N12,27,IF(B12=N13,28,0)))))))))))</f>
        <v>0</v>
      </c>
      <c r="D35" s="68">
        <f>IF(B12=N3,"Max de répétitions",IF(B12=N4,"Max de répétitions",IF(B12=N5,"Max de répétitions et minimum 3",IF(B12=N6,"Max de répétitions et minimum 4",IF(B12=N7,"Max de répétitions et minimum 7",IF(B12=N8,"Max de répétitions et minimum 9",IF(B12=N9,"Max de répétitions et minimum 13",IF(B12=N10,"Max de répétitions et minimum 16",IF(B12=N11,"Max de répétitions et minimum 20",IF(B12=N12,"Max de répétitions et minimum 21",IF(B12=N13,"Max de répétitions et minimum 25",0)))))))))))</f>
        <v>0</v>
      </c>
      <c r="E35" s="112"/>
      <c r="F35" s="68" t="s">
        <v>128</v>
      </c>
      <c r="G35" s="68" t="s">
        <v>128</v>
      </c>
      <c r="H35" s="70"/>
    </row>
    <row r="36" spans="1:8" x14ac:dyDescent="0.25">
      <c r="A36" s="72" t="s">
        <v>384</v>
      </c>
      <c r="B36" s="208" t="s">
        <v>324</v>
      </c>
      <c r="C36" s="209"/>
      <c r="D36" s="209"/>
      <c r="E36" s="209"/>
      <c r="H36" s="147" t="s">
        <v>325</v>
      </c>
    </row>
    <row r="37" spans="1:8" ht="15.75" thickBot="1" x14ac:dyDescent="0.3">
      <c r="A37" s="73" t="s">
        <v>2</v>
      </c>
      <c r="B37" s="74" t="s">
        <v>3</v>
      </c>
      <c r="C37" s="74" t="s">
        <v>4</v>
      </c>
      <c r="D37" s="74" t="s">
        <v>5</v>
      </c>
      <c r="E37" s="74" t="s">
        <v>6</v>
      </c>
      <c r="F37" s="74" t="s">
        <v>124</v>
      </c>
      <c r="G37" s="74" t="s">
        <v>125</v>
      </c>
      <c r="H37" s="74" t="s">
        <v>123</v>
      </c>
    </row>
    <row r="38" spans="1:8" x14ac:dyDescent="0.25">
      <c r="A38" s="251" t="s">
        <v>379</v>
      </c>
      <c r="B38" s="68">
        <f>IF(B15=M3,"2",IF(B15=M4,"5",IF(B15=M5,"8",IF(B15=M6,"12",IF(B15=M7,14,IF(B15=M8,17,IF(B15=M9,22,IF(B15=M10,27,IF(B15=M11,30,IF(B15=M12,30,IF(B15=M13,30,IF(B15=M14,35,0))))))))))))</f>
        <v>0</v>
      </c>
      <c r="C38" s="68">
        <f>IF(B15=M3,"3",IF(B15=M4,"6",IF(B15=M5,"9",IF(B15=M6,"17",IF(B15=M7,18,IF(B15=M8,19,IF(B15=M9,24,IF(B15=M10,29,IF(B15=M11,34,IF(B15=M12,39,IF(B15=M13,44,IF(B15=M14,49,0))))))))))))</f>
        <v>0</v>
      </c>
      <c r="D38" s="68">
        <f>IF(B15=M3,"2",IF(B15=M4,"4",IF(B15=M5,"7",IF(B15=M6,"13",IF(B15=M7,14,IF(B15=M8,15,IF(B15=M9,20,IF(B15=M10,25,IF(B15=M11,30,IF(B15=M12,35,IF(B15=M13,40,IF(B15=M14,45,0))))))))))))</f>
        <v>0</v>
      </c>
      <c r="E38" s="68">
        <f>IF(B15=M3,"Max de répétitions et minimum 3",IF(B15=M4,"Max de répétitions et minimum 5",IF(B15=M5,"Max de répétitions et minimum 8",IF(B15=M6,"Max de répétitions et minimum 17",IF(B15=M7,"Max de répétitions et minimum 20",IF(B15=M8,"Max de répétitions et minimum 20",IF(B15=M9,"Max de répétitions et minimum 25",IF(B15=M10,"Max de répétitions et minimum 35",IF(B15=M11,"Max de répétitions et minimum 40",IF(B15=M12,"Max de répétitions et minimum 42",IF(B15=M13,"Max de répétitions et minimum 55",IF(B15=M14,"Max de répétitions et minimum 55",0))))))))))))</f>
        <v>0</v>
      </c>
      <c r="F38" s="68" t="s">
        <v>128</v>
      </c>
      <c r="G38" s="68" t="s">
        <v>128</v>
      </c>
      <c r="H38" s="68"/>
    </row>
    <row r="39" spans="1:8" x14ac:dyDescent="0.25">
      <c r="A39" s="105" t="s">
        <v>148</v>
      </c>
      <c r="B39" s="68">
        <f>IF(B16=N3,"2",IF(B16=N4,"4",IF(B16=N5,"2",IF(B16=N6,"3",IF(B16=N7,6,IF(B16=N8,8,IF(B16=N9,12,IF(B16=N10,16,IF(B16=N11,20,IF(B16=N12,23,IF(B16=N13,25,0)))))))))))</f>
        <v>0</v>
      </c>
      <c r="C39" s="68">
        <f>IF(B16=N3,"7",IF(B16=N4,"9",IF(B16=N5,"3",IF(B16=N6,"5",IF(B16=N7,8,IF(B16=N8,11,IF(B16=N9,16,IF(B16=N10,18,IF(B16=N11,25,IF(B16=N12,27,IF(B16=N13,28,0)))))))))))</f>
        <v>0</v>
      </c>
      <c r="D39" s="68">
        <f>IF(B16=N3,"5",IF(B16=N4,"6",IF(B16=N5,"2",IF(B16=N6,"3",IF(B16=N7,6,IF(B16=N8,8,IF(B16=N9,12,IF(B16=N10,15,IF(B16=N11,19,IF(B16=N12,22,IF(B16=N13,24,0)))))))))))</f>
        <v>0</v>
      </c>
      <c r="E39" s="68">
        <f>IF(B16=N3,"6",IF(B16=N4,"7",IF(B16=N5,"Max de répétitions et minimum 3",IF(B16=N6,"Max de répétitions et minimum 4",IF(B16=N7,"Max de répétitions et minimum 7",IF(B16=N8,"Max de répétitions et minimum 9",IF(B16=N9,"Max de répétitions et minimum 13",IF(B16=N10,"Max de répétitions et minimum 16",IF(B16=N11,"Max de répétitions et minimum 20",IF(B16=N12,"Max de répétitions et minimum 21",IF(B16=N13,"Max de répétitions et minimum 25",0)))))))))))</f>
        <v>0</v>
      </c>
      <c r="F39" s="68" t="s">
        <v>128</v>
      </c>
      <c r="G39" s="68" t="s">
        <v>128</v>
      </c>
      <c r="H39" s="68" t="str">
        <f>IF(OR(B16=N3,B16=N4),"Toutes les répétitions en excentrique : voir vidéo","")</f>
        <v/>
      </c>
    </row>
    <row r="40" spans="1:8" x14ac:dyDescent="0.25">
      <c r="A40" s="252" t="s">
        <v>147</v>
      </c>
      <c r="B40" s="68">
        <f>IF(B17=M3,"2",IF(B17=M4,"5",IF(B17=M5,"8",IF(B17=M6,"12",IF(B17=M7,14,IF(B17=M8,17,IF(B17=M9,22,IF(B17=M10,27,IF(B17=M11,30,IF(B17=M12,30,IF(B17=M13,30,IF(B17=M14,35,0))))))))))))</f>
        <v>0</v>
      </c>
      <c r="C40" s="68">
        <f>IF(B17=M3,"3",IF(B17=M4,"6",IF(B17=M5,"9",IF(B17=M6,"17",IF(B17=M7,18,IF(B17=M8,19,IF(B17=M9,24,IF(B17=M10,29,IF(B17=M11,34,IF(B17=M12,39,IF(B17=M13,44,IF(B17=M14,49,0))))))))))))</f>
        <v>0</v>
      </c>
      <c r="D40" s="68">
        <f>IF(B17=M3,"2",IF(B17=M4,"4",IF(B17=M5,"7",IF(B17=M6,"13",IF(B17=M7,14,IF(B17=M8,15,IF(B17=M9,20,IF(B17=M10,25,IF(B17=M11,30,IF(B17=M12,35,IF(B17=M13,40,IF(B17=M14,45,0))))))))))))</f>
        <v>0</v>
      </c>
      <c r="E40" s="68">
        <f>IF(B17=M3,"Max de répétitions et minimum 3",IF(B17=M4,"Max de répétitions et minimum 5",IF(B17=M5,"Max de répétitions et minimum 8",IF(B17=M6,"Max de répétitions et minimum 17",IF(B17=M7,"Max de répétitions et minimum 20",IF(B17=M8,"Max de répétitions et minimum 20",IF(B17=M9,"Max de répétitions et minimum 25",IF(B17=M10,"Max de répétitions et minimum 35",IF(B17=M11,"Max de répétitions et minimum 40",IF(B17=M12,"Max de répétitions et minimum 42",IF(B17=M13,"Max de répétitions et minimum 55",IF(B17=M14,"Max de répétitions et minimum 55",0))))))))))))</f>
        <v>0</v>
      </c>
      <c r="F40" s="68" t="s">
        <v>128</v>
      </c>
      <c r="G40" s="68" t="s">
        <v>128</v>
      </c>
      <c r="H40" s="68"/>
    </row>
    <row r="41" spans="1:8" x14ac:dyDescent="0.25">
      <c r="A41" s="253" t="s">
        <v>327</v>
      </c>
      <c r="B41" s="68">
        <f>IF(B18=N3,"2",IF(B18=N4,"3",IF(B18=N5,"2",IF(B18=N6,"3",IF(B18=N7,6,IF(B18=N8,8,IF(B18=N9,12,IF(B18=N10,16,IF(B18=N11,20,IF(B18=N12,23,IF(B18=N13,25,0)))))))))))</f>
        <v>0</v>
      </c>
      <c r="C41" s="68">
        <f>IF(B18=N3,"3",IF(B18=N4,"2",IF(B18=N5,"3",IF(B18=N6,"5",IF(B18=N7,8,IF(B18=N8,11,IF(B18=N9,16,IF(B18=N10,18,IF(B18=N11,25,IF(B18=N12,27,IF(B18=N13,28,0)))))))))))</f>
        <v>0</v>
      </c>
      <c r="D41" s="68">
        <f>IF(B18=N3,"Max de répétitions",IF(B18=N4,"Max de répétitions",IF(B18=N5,"Max de répétitions et minimum 3",IF(B18=N6,"Max de répétitions et minimum 4",IF(B18=N7,"Max de répétitions et minimum 7",IF(B18=N8,"Max de répétitions et minimum 9",IF(B18=N9,"Max de répétitions et minimum 13",IF(B18=N10,"Max de répétitions et minimum 16",IF(B18=N11,"Max de répétitions et minimum 20",IF(B18=N12,"Max de répétitions et minimum 21",IF(B18=N13,"Max de répétitions et minimum 25",0)))))))))))</f>
        <v>0</v>
      </c>
      <c r="E41" s="112"/>
      <c r="F41" s="68" t="s">
        <v>131</v>
      </c>
      <c r="G41" s="68" t="s">
        <v>131</v>
      </c>
      <c r="H41" s="68"/>
    </row>
    <row r="42" spans="1:8" x14ac:dyDescent="0.25">
      <c r="A42" s="105" t="s">
        <v>164</v>
      </c>
      <c r="B42" s="68">
        <f>IF(B19=N3,"2",IF(B19=N4,"3",IF(B19=N5,"2",IF(B19=N6,"3",IF(B19=N7,6,IF(B19=N8,8,IF(B19=N9,12,IF(B19=N10,16,IF(B19=N11,20,IF(B19=N12,23,IF(B19=N13,25,0)))))))))))</f>
        <v>0</v>
      </c>
      <c r="C42" s="68">
        <f>IF(B19=N3,"3",IF(B19=N4,"2",IF(B19=N5,"3",IF(B19=N6,"5",IF(B19=N7,8,IF(B19=N8,11,IF(B19=N9,16,IF(B19=N10,18,IF(B19=N11,25,IF(B19=N12,27,IF(B19=N13,28,0)))))))))))</f>
        <v>0</v>
      </c>
      <c r="D42" s="68">
        <f>IF(B19=N3,"Max de répétitions",IF(B19=N4,"Max de répétitions",IF(B19=N5,"Max de répétitions et minimum 3",IF(B19=N6,"Max de répétitions et minimum 4",IF(B19=N7,"Max de répétitions et minimum 7",IF(B19=N8,"Max de répétitions et minimum 9",IF(B19=N9,"Max de répétitions et minimum 13",IF(B19=N10,"Max de répétitions et minimum 16",IF(B19=N11,"Max de répétitions et minimum 20",IF(B19=N12,"Max de répétitions et minimum 21",IF(B19=N13,"Max de répétitions et minimum 25",0)))))))))))</f>
        <v>0</v>
      </c>
      <c r="E42" s="112"/>
      <c r="F42" s="68" t="s">
        <v>131</v>
      </c>
      <c r="G42" s="68" t="s">
        <v>131</v>
      </c>
      <c r="H42" s="68"/>
    </row>
    <row r="43" spans="1:8" x14ac:dyDescent="0.25">
      <c r="A43" s="214" t="s">
        <v>152</v>
      </c>
      <c r="B43" s="215"/>
      <c r="C43" s="215"/>
      <c r="D43" s="215"/>
      <c r="E43" s="215"/>
      <c r="F43" s="215"/>
      <c r="G43" s="215"/>
      <c r="H43" s="215"/>
    </row>
    <row r="44" spans="1:8" ht="15.75" thickBot="1" x14ac:dyDescent="0.3">
      <c r="A44" s="88" t="s">
        <v>385</v>
      </c>
      <c r="B44" s="219" t="s">
        <v>324</v>
      </c>
      <c r="C44" s="220"/>
      <c r="D44" s="220"/>
      <c r="E44" s="220"/>
      <c r="H44" s="147" t="s">
        <v>325</v>
      </c>
    </row>
    <row r="45" spans="1:8" x14ac:dyDescent="0.25">
      <c r="A45" s="60" t="s">
        <v>2</v>
      </c>
      <c r="B45" s="74" t="s">
        <v>3</v>
      </c>
      <c r="C45" s="74" t="s">
        <v>4</v>
      </c>
      <c r="D45" s="74" t="s">
        <v>5</v>
      </c>
      <c r="E45" s="74" t="s">
        <v>6</v>
      </c>
      <c r="F45" s="74" t="s">
        <v>124</v>
      </c>
      <c r="G45" s="74" t="s">
        <v>125</v>
      </c>
      <c r="H45" s="74" t="s">
        <v>123</v>
      </c>
    </row>
    <row r="46" spans="1:8" x14ac:dyDescent="0.25">
      <c r="A46" s="79" t="s">
        <v>302</v>
      </c>
      <c r="B46" s="65">
        <f>IF(B22=O3,"4",IF(B22=O4,"8",IF(B22=O5,"16",IF(B22=O6,"22",IF(B22=O7,26,IF(B22=O8,32,IF(B22=O9,38,IF(B22=O10,44,IF(B22=O11,50,IF(B22=O12,52,IF(B22=O13,50,IF(B22=O14,50,IF(B22=O15,60,IF(B22=O16,74,0))))))))))))))</f>
        <v>0</v>
      </c>
      <c r="C46" s="65">
        <f>IF(B22=O3,"6",IF(B22=O4,"8",IF(B22=O5,"16",IF(B22=O6,"22",IF(B22=O7,26,IF(B22=O8,32,IF(B22=O9,36,IF(B22=O10,44,IF(B22=O11,50,IF(B22=O12,52,IF(B22=O13,42,IF(B22=O14,52,IF(B22=O15,60,IF(B22=O16,64,0))))))))))))))</f>
        <v>0</v>
      </c>
      <c r="D46" s="65">
        <f>IF(B22=O3,"6",IF(B22=O4,"8",IF(B22=O5,"16",IF(B22=O6,"22",IF(B22=O7,26,IF(B22=O8,30,IF(B22=O9,36,IF(B22=O10,40,IF(B22=O11,48,IF(B22=O12,54,IF(B22=O13,56,IF(B22=O14,56,IF(B22=O15,60,IF(B22=O16,54,0))))))))))))))</f>
        <v>0</v>
      </c>
      <c r="E46" s="65">
        <f>IF(B22=O3,"Max de répétitions et minimum 7",IF(B22=O4,"Max de répétitions et minimum 10",IF(B22=O5,"Max de répétitions et minimum 10",IF(B22=O6,"Max de répétitions et minimum 24",IF(B22=O7,"Max de répétitions et minimum 28",IF(B22=O8,"Max de répétitions et minimum 32",IF(B22=O9,"Max de répétitions et minimum 40",IF(B22=O10,"Max de répétitions et minimum 46",IF(B22=O11,"Max de répétitions et minimum 50",IF(B22=O12,"Max de répétitions et minimum 60",IF(B22=O13,"Max de répétitions et minimum 65",IF(B22=O14,"Max de répétitions et minimum 70",IF(B22=O15,"Max de répétitions et minimum 60",IF(B22=O16,"Max de répétitions et minimum 64",0))))))))))))))</f>
        <v>0</v>
      </c>
      <c r="F46" s="68" t="s">
        <v>128</v>
      </c>
      <c r="G46" s="68" t="s">
        <v>127</v>
      </c>
      <c r="H46" s="67" t="s">
        <v>387</v>
      </c>
    </row>
    <row r="47" spans="1:8" x14ac:dyDescent="0.25">
      <c r="A47" s="79" t="s">
        <v>166</v>
      </c>
      <c r="B47" s="68">
        <f>IF(B23=N3,"2",IF(B23=N4,"3",IF(B23=N5,"2",IF(B23=N6,"3",IF(B23=N7,6,IF(B23=N8,8,IF(B23=N9,12,IF(B23=N10,16,IF(B23=N11,20,IF(B23=N12,23,IF(B23=N13,25,0)))))))))))</f>
        <v>0</v>
      </c>
      <c r="C47" s="68">
        <f>IF(B23=N3,"3",IF(B23=N4,"2",IF(B23=N5,"3",IF(B23=N6,"5",IF(B23=N7,8,IF(B23=N8,11,IF(B23=N9,16,IF(B23=N10,18,IF(B23=N11,25,IF(B23=N12,27,IF(B23=N13,28,0)))))))))))</f>
        <v>0</v>
      </c>
      <c r="D47" s="68">
        <f>IF(B23=N3,"2",IF(B23=N4,"3",IF(B23=N5,"2",IF(B23=N6,"3",IF(B23=N7,6,IF(B23=N8,8,IF(B23=N9,12,IF(B23=N10,15,IF(B23=N11,19,IF(B23=N12,22,IF(B23=N13,24,0)))))))))))</f>
        <v>0</v>
      </c>
      <c r="E47" s="68">
        <f>IF(B23=N3,"Max de répétitions",IF(B23=N4,"Max de répétitions",IF(B23=N5,"Max de répétitions et minimum 3",IF(B23=N6,"Max de répétitions et minimum 4",IF(B23=N7,"Max de répétitions et minimum 7",IF(B23=N8,"Max de répétitions et minimum 9",IF(B23=N9,"Max de répétitions et minimum 13",IF(B23=N10,"Max de répétitions et minimum 16",IF(B23=N11,"Max de répétitions et minimum 20",IF(B23=N12,"Max de répétitions et minimum 21",IF(B23=N13,"Max de répétitions et minimum 25",0)))))))))))</f>
        <v>0</v>
      </c>
      <c r="F47" s="68" t="s">
        <v>130</v>
      </c>
      <c r="G47" s="68" t="s">
        <v>128</v>
      </c>
      <c r="H47" s="69"/>
    </row>
    <row r="48" spans="1:8" x14ac:dyDescent="0.25">
      <c r="A48" s="79" t="s">
        <v>174</v>
      </c>
      <c r="B48" s="68">
        <f>IF(B24=N3,"2",IF(B24=N4,"3",IF(B24=N5,"2",IF(B24=N6,"3",IF(B24=N7,6,IF(B24=N8,8,IF(B24=N9,12,IF(B24=N10,16,IF(B24=N11,20,IF(B24=N12,23,IF(B24=N13,25,0)))))))))))</f>
        <v>0</v>
      </c>
      <c r="C48" s="68">
        <f>IF(B24=N3,"3",IF(B24=N4,"2",IF(B24=N5,"3",IF(B24=N6,"5",IF(B24=N7,8,IF(B24=N8,11,IF(B24=N9,16,IF(B24=N10,18,IF(B24=N11,25,IF(B24=N12,27,IF(B24=N13,28,0)))))))))))</f>
        <v>0</v>
      </c>
      <c r="D48" s="68">
        <f>IF(B24=N3,"2",IF(B24=N4,"3",IF(B24=N5,"2",IF(B24=N6,"3",IF(B24=N7,6,IF(B24=N8,8,IF(B24=N9,12,IF(B24=N10,15,IF(B24=N11,19,IF(B24=N12,22,IF(B24=N13,24,0)))))))))))</f>
        <v>0</v>
      </c>
      <c r="E48" s="68">
        <f>IF(B24=N3,"Max de répétitions",IF(B24=N4,"Max de répétitions",IF(B24=N5,"Max de répétitions et minimum 3",IF(B24=N6,"Max de répétitions et minimum 4",IF(B24=N7,"Max de répétitions et minimum 7",IF(B24=N8,"Max de répétitions et minimum 9",IF(B24=N9,"Max de répétitions et minimum 13",IF(B24=N10,"Max de répétitions et minimum 16",IF(B24=N11,"Max de répétitions et minimum 20",IF(B24=N12,"Max de répétitions et minimum 21",IF(B24=N13,"Max de répétitions et minimum 25",0)))))))))))</f>
        <v>0</v>
      </c>
      <c r="F48" s="68" t="s">
        <v>130</v>
      </c>
      <c r="G48" s="68" t="s">
        <v>128</v>
      </c>
      <c r="H48" s="69"/>
    </row>
    <row r="49" spans="1:8" x14ac:dyDescent="0.25">
      <c r="A49" s="79" t="s">
        <v>171</v>
      </c>
      <c r="B49" s="68">
        <f>IF(B25=M3,"2",IF(B25=M4,"5",IF(B25=M5,"8",IF(B25=M6,"12",IF(B25=M7,14,IF(B25=M8,17,IF(B25=M9,22,IF(B25=M10,27,IF(B25=M11,30,IF(B25=M12,30,IF(B25=M13,30,IF(B25=M14,35,0))))))))))))</f>
        <v>0</v>
      </c>
      <c r="C49" s="68">
        <f>IF(B25=M3,"3",IF(B25=M4,"6",IF(B25=M5,"9",IF(B25=M6,"17",IF(B25=M7,18,IF(B25=M8,19,IF(B25=M9,24,IF(B25=M10,29,IF(B25=M11,34,IF(B25=M12,39,IF(B25=M13,44,IF(B25=M14,49,0))))))))))))</f>
        <v>0</v>
      </c>
      <c r="D49" s="68">
        <f>IF(B25=M3,"Max de répétitions et minimum 3",IF(B25=M4,"Max de répétitions et minimum 5",IF(B25=M5,"Max de répétitions et minimum 8",IF(B25=M6,"Max de répétitions et minimum 17",IF(B25=M7,"Max de répétitions et minimum 20",IF(B25=M8,"Max de répétitions et minimum 20",IF(B25=M9,"Max de répétitions et minimum 25",IF(B25=M10,"Max de répétitions et minimum 35",IF(B25=M11,"Max de répétitions et minimum 40",IF(B25=M12,"Max de répétitions et minimum 42",IF(B25=M13,"Max de répétitions et minimum 55",IF(B25=M14,"Max de répétitions et minimum 55",0))))))))))))</f>
        <v>0</v>
      </c>
      <c r="E49" s="112"/>
      <c r="F49" s="68" t="s">
        <v>173</v>
      </c>
      <c r="G49" s="68" t="s">
        <v>131</v>
      </c>
      <c r="H49" s="70"/>
    </row>
    <row r="50" spans="1:8" ht="15.75" thickBot="1" x14ac:dyDescent="0.3">
      <c r="A50" s="79" t="s">
        <v>161</v>
      </c>
      <c r="B50" s="68">
        <f>IF(B26=N3,"2",IF(B26=N4,"3",IF(B26=N5,"2",IF(B26=N6,"3",IF(B26=N7,6,IF(B26=N8,8,IF(B26=N9,12,IF(B26=N10,16,IF(B26=N11,20,IF(B26=N12,23,IF(B26=N13,25,0)))))))))))</f>
        <v>0</v>
      </c>
      <c r="C50" s="68">
        <f>IF(B26=N3,"3",IF(B26=N4,"2",IF(B26=N5,"3",IF(B26=N6,"5",IF(B26=N7,8,IF(B26=N8,11,IF(B26=N9,16,IF(B26=N10,18,IF(B26=N11,25,IF(B26=N12,27,IF(B26=N13,28,0)))))))))))</f>
        <v>0</v>
      </c>
      <c r="D50" s="68">
        <f>IF(B26=N3,"Max de répétitions",IF(B26=N4,"Max de répétitions",IF(B26=N5,"Max de répétitions et minimum 3",IF(B26=N6,"Max de répétitions et minimum 4",IF(B26=N7,"Max de répétitions et minimum 7",IF(B26=N8,"Max de répétitions et minimum 9",IF(B26=N9,"Max de répétitions et minimum 13",IF(B26=N10,"Max de répétitions et minimum 16",IF(B26=N11,"Max de répétitions et minimum 20",IF(B26=N12,"Max de répétitions et minimum 21",IF(B26=N13,"Max de répétitions et minimum 25",0)))))))))))</f>
        <v>0</v>
      </c>
      <c r="E50" s="112"/>
      <c r="F50" s="68" t="s">
        <v>131</v>
      </c>
      <c r="G50" s="112"/>
      <c r="H50" s="70"/>
    </row>
    <row r="51" spans="1:8" x14ac:dyDescent="0.25">
      <c r="A51" s="72" t="s">
        <v>395</v>
      </c>
      <c r="B51" s="208" t="s">
        <v>324</v>
      </c>
      <c r="C51" s="209"/>
      <c r="D51" s="209"/>
      <c r="E51" s="209"/>
      <c r="H51" s="147" t="s">
        <v>325</v>
      </c>
    </row>
    <row r="52" spans="1:8" x14ac:dyDescent="0.25">
      <c r="A52" s="73" t="s">
        <v>2</v>
      </c>
      <c r="B52" s="74" t="s">
        <v>3</v>
      </c>
      <c r="C52" s="74" t="s">
        <v>4</v>
      </c>
      <c r="D52" s="74" t="s">
        <v>5</v>
      </c>
      <c r="E52" s="74" t="s">
        <v>6</v>
      </c>
      <c r="F52" s="74" t="s">
        <v>124</v>
      </c>
      <c r="G52" s="74" t="s">
        <v>125</v>
      </c>
      <c r="H52" s="74" t="s">
        <v>123</v>
      </c>
    </row>
    <row r="53" spans="1:8" x14ac:dyDescent="0.25">
      <c r="A53" s="246" t="s">
        <v>155</v>
      </c>
      <c r="B53" s="65">
        <f>IF(B9=N3,"3",IF(B9=N4,"5",IF(B9=N5,"2",IF(B9=N6,"4",IF(B9=N7,6,IF(B9=N8,9,IF(B9=N9,13,IF(B9=N10,16,IF(B9=N11,22,IF(B9=N12,24,IF(B9=N13,25,0)))))))))))</f>
        <v>0</v>
      </c>
      <c r="C53" s="65">
        <f>IF(B9=N3,"8",IF(B9=N4,"9",IF(B9=N5,"3",IF(B9=N6,"6",IF(B9=N7,9,IF(B9=N8,12,IF(B9=N9,16,IF(B9=N10,20,IF(B9=N11,25,IF(B9=N12,28,IF(B9=N13,29,0)))))))))))</f>
        <v>0</v>
      </c>
      <c r="D53" s="65">
        <f>IF(B9=N3,"6",IF(B9=N4,"7",IF(B9=N5,"2",IF(B9=N6,"4",IF(B9=N7,6,IF(B9=N8,9,IF(B9=N9,12,IF(B9=N10,16,IF(B9=N11,21,IF(B9=N12,24,IF(B9=N13,25,0)))))))))))</f>
        <v>0</v>
      </c>
      <c r="E53" s="65">
        <f>IF(B9=N3,"6",IF(B9=N4,"7",IF(B9=N5,"Max de répétitions et minimum 4",IF(B9=N6,"Max de répétitions et minimum 6",IF(B9=N7,"Max de répétitions et minimum 9",IF(B9=N8,"Max de répétitions et minimum 11",IF(B9=N9,"Max de répétitions et minimum 16",IF(B9=N10,"Max de répétitions et minimum 19",IF(B9=N11,"Max de répétitions et minimum 25",IF(B9=N12,"Max de répétitions et minimum 28",IF(B9=N13,"Max de répétitions et minimum 28",0)))))))))))</f>
        <v>0</v>
      </c>
      <c r="F53" s="68" t="s">
        <v>128</v>
      </c>
      <c r="G53" s="68" t="s">
        <v>128</v>
      </c>
      <c r="H53" s="67" t="str">
        <f>IF(OR(B9=N3,B9=N4),"Toutes les répétitions en excentrique","")</f>
        <v/>
      </c>
    </row>
    <row r="54" spans="1:8" x14ac:dyDescent="0.25">
      <c r="A54" s="246" t="s">
        <v>328</v>
      </c>
      <c r="B54" s="68">
        <f>IF(B10=N3,"3",IF(B10=N4,"3",IF(B10=N5,"2",IF(B10=N6,"4",IF(B10=N7,6,IF(B10=N8,9,IF(B10=N9,13,IF(B10=N10,16,IF(B10=N11,22,IF(B10=N12,24,IF(B10=N13,25,0)))))))))))</f>
        <v>0</v>
      </c>
      <c r="C54" s="68">
        <f>IF(B10=N3,"3",IF(B10=N4,"4",IF(B10=N5,"3",IF(B10=N6,"6",IF(B10=N7,9,IF(B10=N8,12,IF(B10=N9,16,IF(B10=N10,20,IF(B10=N11,25,IF(B10=N12,28,IF(B10=N13,29,0)))))))))))</f>
        <v>0</v>
      </c>
      <c r="D54" s="68">
        <f>IF(B10=N3,"2",IF(B10=N4,"3",IF(B10=N5,"2",IF(B10=N6,"4",IF(B10=N7,6,IF(B10=N8,9,IF(B10=N9,12,IF(B10=N10,16,IF(B10=N11,21,IF(B10=N12,24,IF(B10=N13,25,0)))))))))))</f>
        <v>0</v>
      </c>
      <c r="E54" s="68">
        <f>IF(B10=N3,"Max de répétitions",IF(B10=N4,"Max de répétitions",IF(B10=N5,"Max de répétitions et minimum 4",IF(B10=N6,"Max de répétitions et minimum 6",IF(B10=N7,"Max de répétitions et minimum 9",IF(B10=N8,"Max de répétitions et minimum 11",IF(B10=N9,"Max de répétitions et minimum 16",IF(B10=N10,"Max de répétitions et minimum 19",IF(B10=N11,"Max de répétitions et minimum 25",IF(B10=N12,"Max de répétitions et minimum 28",IF(B10=N13,"Max de répétitions et minimum 28",0)))))))))))</f>
        <v>0</v>
      </c>
      <c r="F54" s="68" t="s">
        <v>128</v>
      </c>
      <c r="G54" s="68" t="s">
        <v>128</v>
      </c>
      <c r="H54" s="69"/>
    </row>
    <row r="55" spans="1:8" x14ac:dyDescent="0.25">
      <c r="A55" s="246" t="s">
        <v>394</v>
      </c>
      <c r="B55" s="68">
        <f>IF(B11=N3,"3",IF(B11=N4,"3",IF(B11=N5,"2",IF(B11=N6,"4",IF(B11=N7,6,IF(B11=N8,9,IF(B11=N9,13,IF(B11=N10,16,IF(B11=N11,22,IF(B11=N12,24,IF(B11=N13,25,0)))))))))))</f>
        <v>0</v>
      </c>
      <c r="C55" s="68">
        <f>IF(B11=N3,"3",IF(B11=N4,"4",IF(B11=N5,"3",IF(B11=N6,"6",IF(B11=N7,9,IF(B11=N8,12,IF(B11=N9,16,IF(B11=N10,20,IF(B11=N11,25,IF(B11=N12,28,IF(B11=N13,29,0)))))))))))</f>
        <v>0</v>
      </c>
      <c r="D55" s="68">
        <f>IF(B11=N3,"Max de répétitions",IF(B11=N4,"Max de répétitions",IF(B11=N5,"Max de répétitions et minimum 4",IF(B11=N6,"Max de répétitions et minimum 6",IF(B11=N7,"Max de répétitions et minimum 9",IF(B11=N8,"Max de répétitions et minimum 11",IF(B11=N9,"Max de répétitions et minimum 16",IF(B11=N10,"Max de répétitions et minimum 19",IF(B11=N11,"Max de répétitions et minimum 25",IF(B11=N12,"Max de répétitions et minimum 28",IF(B11=N13,"Max de répétitions et minimum 28",0)))))))))))</f>
        <v>0</v>
      </c>
      <c r="E55" s="112"/>
      <c r="F55" s="68" t="s">
        <v>128</v>
      </c>
      <c r="G55" s="68" t="s">
        <v>128</v>
      </c>
      <c r="H55" s="69"/>
    </row>
    <row r="56" spans="1:8" ht="15.75" thickBot="1" x14ac:dyDescent="0.3">
      <c r="A56" s="242" t="s">
        <v>277</v>
      </c>
      <c r="B56" s="68">
        <f>IF(B12=N3,"3",IF(B12=N4,"3",IF(B12=N5,"2",IF(B12=N6,"4",IF(B12=N7,6,IF(B12=N8,9,IF(B12=N9,13,IF(B12=N10,16,IF(B12=N11,22,IF(B12=N12,24,IF(B12=N13,25,0)))))))))))</f>
        <v>0</v>
      </c>
      <c r="C56" s="68">
        <f>IF(B12=N3,"3",IF(B12=N4,"4",IF(B12=N5,"3",IF(B12=N6,"6",IF(B12=N7,9,IF(B12=N8,12,IF(B12=N9,16,IF(B12=N10,20,IF(B12=N11,25,IF(B12=N12,28,IF(B12=N13,29,0)))))))))))</f>
        <v>0</v>
      </c>
      <c r="D56" s="68">
        <f>IF(B12=N3,"Max de répétitions",IF(B12=N4,"Max de répétitions",IF(B12=N5,"Max de répétitions et minimum 4",IF(B12=N6,"Max de répétitions et minimum 6",IF(B12=N7,"Max de répétitions et minimum 9",IF(B12=N8,"Max de répétitions et minimum 11",IF(B12=N9,"Max de répétitions et minimum 16",IF(B12=N10,"Max de répétitions et minimum 19",IF(B12=N11,"Max de répétitions et minimum 25",IF(B12=N12,"Max de répétitions et minimum 28",IF(B12=N13,"Max de répétitions et minimum 28",0)))))))))))</f>
        <v>0</v>
      </c>
      <c r="E56" s="112"/>
      <c r="F56" s="68" t="s">
        <v>128</v>
      </c>
      <c r="G56" s="68" t="s">
        <v>128</v>
      </c>
      <c r="H56" s="70"/>
    </row>
    <row r="57" spans="1:8" x14ac:dyDescent="0.25">
      <c r="A57" s="214" t="s">
        <v>139</v>
      </c>
      <c r="B57" s="215"/>
      <c r="C57" s="215"/>
      <c r="D57" s="215"/>
      <c r="E57" s="215"/>
      <c r="F57" s="215"/>
      <c r="G57" s="215"/>
      <c r="H57" s="215"/>
    </row>
    <row r="58" spans="1:8" x14ac:dyDescent="0.25">
      <c r="A58" s="214" t="s">
        <v>140</v>
      </c>
      <c r="B58" s="215"/>
      <c r="C58" s="215"/>
      <c r="D58" s="215"/>
      <c r="E58" s="215"/>
      <c r="F58" s="215"/>
      <c r="G58" s="215"/>
      <c r="H58" s="215"/>
    </row>
    <row r="59" spans="1:8" x14ac:dyDescent="0.25">
      <c r="A59" s="77"/>
      <c r="B59" s="77"/>
      <c r="C59" s="77"/>
      <c r="D59" s="77"/>
      <c r="E59" s="77"/>
      <c r="F59" s="77"/>
      <c r="G59" s="77"/>
      <c r="H59" s="77"/>
    </row>
    <row r="60" spans="1:8" ht="15.75" thickBot="1" x14ac:dyDescent="0.3">
      <c r="A60" s="213" t="s">
        <v>141</v>
      </c>
      <c r="B60" s="213"/>
      <c r="C60" s="213"/>
      <c r="D60" s="213"/>
      <c r="E60" s="213"/>
      <c r="F60" s="213"/>
      <c r="G60" s="213"/>
      <c r="H60" s="213"/>
    </row>
    <row r="61" spans="1:8" x14ac:dyDescent="0.25">
      <c r="A61" s="72" t="s">
        <v>386</v>
      </c>
      <c r="B61" s="208" t="s">
        <v>324</v>
      </c>
      <c r="C61" s="209"/>
      <c r="D61" s="209"/>
      <c r="E61" s="209"/>
      <c r="H61" s="147" t="s">
        <v>325</v>
      </c>
    </row>
    <row r="62" spans="1:8" x14ac:dyDescent="0.25">
      <c r="A62" s="73" t="s">
        <v>2</v>
      </c>
      <c r="B62" s="74" t="s">
        <v>3</v>
      </c>
      <c r="C62" s="74" t="s">
        <v>4</v>
      </c>
      <c r="D62" s="74" t="s">
        <v>5</v>
      </c>
      <c r="E62" s="74" t="s">
        <v>6</v>
      </c>
      <c r="F62" s="74" t="s">
        <v>124</v>
      </c>
      <c r="G62" s="74" t="s">
        <v>125</v>
      </c>
      <c r="H62" s="74" t="s">
        <v>123</v>
      </c>
    </row>
    <row r="63" spans="1:8" x14ac:dyDescent="0.25">
      <c r="A63" s="246" t="s">
        <v>155</v>
      </c>
      <c r="B63" s="65">
        <f>IF(B9=N3,"4",IF(B9=N4,"6",IF(B9=N5,"3",IF(B9=N6,"5",IF(B9=N7,7,IF(B9=N8,9,IF(B9=N9,13,IF(B9=N10,17,IF(B9=N11,23,IF(B9=N12,25,IF(B9=N13,25,0)))))))))))</f>
        <v>0</v>
      </c>
      <c r="C63" s="65">
        <f>IF(B9=N3,"9",IF(B9=N4,"10",IF(B9=N5,"4",IF(B9=N6,"7",IF(B9=N7,10,IF(B9=N8,13,IF(B9=N9,16,IF(B9=N10,21,IF(B9=N11,26,IF(B9=N12,29,IF(B9=N13,30,0)))))))))))</f>
        <v>0</v>
      </c>
      <c r="D63" s="65">
        <f>IF(B9=N3,"6",IF(B9=N4,"8",IF(B9=N5,"2",IF(B9=N6,"5",IF(B9=N7,6,IF(B9=N8,9,IF(B9=N9,12,IF(B9=N10,16,IF(B9=N11,23,IF(B9=N12,24,IF(B9=N13,25,0)))))))))))</f>
        <v>0</v>
      </c>
      <c r="E63" s="65">
        <f>IF(B9=N3,"6",IF(B9=N4,"8",IF(B9=N5,"Max de répétitions et minimum 4",IF(B9=N6,"Max de répétitions et minimum 6",IF(B9=N7,"Max de répétitions et minimum 9",IF(B9=N8,"Max de répétitions et minimum 12",IF(B9=N9,"Max de répétitions et minimum 16",IF(B9=N10,"Max de répétitions et minimum 20",IF(B9=N11,"Max de répétitions et minimum 25",IF(B9=N12,"Max de répétitions et minimum 29",IF(B9=N13,"Max de répétitions et minimum 29",0)))))))))))</f>
        <v>0</v>
      </c>
      <c r="F63" s="68" t="s">
        <v>128</v>
      </c>
      <c r="G63" s="68" t="s">
        <v>128</v>
      </c>
      <c r="H63" s="67" t="str">
        <f>IF(OR(B9=N3,B9=N4),"Toutes les répétitions en excentrique","")</f>
        <v/>
      </c>
    </row>
    <row r="64" spans="1:8" x14ac:dyDescent="0.25">
      <c r="A64" s="246" t="s">
        <v>328</v>
      </c>
      <c r="B64" s="68">
        <f>IF(B10=N3,"4",IF(B10=N4,"6",IF(B10=N5,"3",IF(B10=N6,"5",IF(B10=N7,7,IF(B10=N8,9,IF(B10=N9,13,IF(B10=N10,17,IF(B10=N11,23,IF(B10=N12,25,IF(B10=N13,25,0)))))))))))</f>
        <v>0</v>
      </c>
      <c r="C64" s="68">
        <f>IF(B10=N3,"4",IF(B10=N4,"5",IF(B10=N5,"4",IF(B10=N6,"7",IF(B10=N7,10,IF(B10=N8,13,IF(B10=N9,16,IF(B10=N10,21,IF(B10=N11,26,IF(B10=N12,29,IF(B10=N13,30,0)))))))))))</f>
        <v>0</v>
      </c>
      <c r="D64" s="68">
        <f>IF(B10=N3,"3",IF(B10=N4,"4",IF(B10=N5,"2",IF(B10=N6,"5",IF(B10=N7,6,IF(B10=N8,9,IF(B10=N9,12,IF(B10=N10,16,IF(B10=N11,23,IF(B10=N12,24,IF(B10=N13,25,0)))))))))))</f>
        <v>0</v>
      </c>
      <c r="E64" s="68">
        <f>IF(B10=N3,"Max de répétitions",IF(B10=N4,"Max de répétitions",IF(B10=N5,"Max de répétitions et minimum 4",IF(B10=N6,"Max de répétitions et minimum 6",IF(B10=N7,"Max de répétitions et minimum 9",IF(B10=N8,"Max de répétitions et minimum 12",IF(B10=N9,"Max de répétitions et minimum 16",IF(B10=N10,"Max de répétitions et minimum 20",IF(B10=N11,"Max de répétitions et minimum 25",IF(B10=N12,"Max de répétitions et minimum 29",IF(B10=N13,"Max de répétitions et minimum 29",0)))))))))))</f>
        <v>0</v>
      </c>
      <c r="F64" s="68" t="s">
        <v>128</v>
      </c>
      <c r="G64" s="68" t="s">
        <v>128</v>
      </c>
      <c r="H64" s="69"/>
    </row>
    <row r="65" spans="1:8" x14ac:dyDescent="0.25">
      <c r="A65" s="246" t="s">
        <v>394</v>
      </c>
      <c r="B65" s="68">
        <f>IF(B11=N3,"4",IF(B11=N4,"6",IF(B11=N5,"3",IF(B11=N6,"5",IF(B11=N7,7,IF(B11=N8,9,IF(B11=N9,13,IF(B11=N10,17,IF(B11=N11,23,IF(B11=N12,25,IF(B11=N13,25,0)))))))))))</f>
        <v>0</v>
      </c>
      <c r="C65" s="68">
        <f>IF(B11=N3,"4",IF(B11=N4,"5",IF(B11=N5,"4",IF(B11=N6,"7",IF(B11=N7,10,IF(B11=N8,13,IF(B11=N9,16,IF(B11=N10,21,IF(B11=N11,26,IF(B11=N12,29,IF(B11=N13,30,0)))))))))))</f>
        <v>0</v>
      </c>
      <c r="D65" s="68">
        <f>IF(B11=N3,"Max de répétitions",IF(B11=N4,"Max de répétitions",IF(B11=N5,"Max de répétitions et minimum 4",IF(B11=N6,"Max de répétitions et minimum 6",IF(B11=N7,"Max de répétitions et minimum 9",IF(B11=N8,"Max de répétitions et minimum 12",IF(B11=N9,"Max de répétitions et minimum 16",IF(B11=N10,"Max de répétitions et minimum 20",IF(B11=N11,"Max de répétitions et minimum 25",IF(B11=N12,"Max de répétitions et minimum 29",IF(B11=N13,"Max de répétitions et minimum 29",0)))))))))))</f>
        <v>0</v>
      </c>
      <c r="E65" s="112"/>
      <c r="F65" s="68" t="s">
        <v>128</v>
      </c>
      <c r="G65" s="68" t="s">
        <v>128</v>
      </c>
      <c r="H65" s="69"/>
    </row>
    <row r="66" spans="1:8" ht="15.75" thickBot="1" x14ac:dyDescent="0.3">
      <c r="A66" s="242" t="s">
        <v>277</v>
      </c>
      <c r="B66" s="68">
        <f>IF(B12=N3,"4",IF(B12=N4,"6",IF(B12=N5,"3",IF(B12=N6,"5",IF(B12=N7,7,IF(B12=N8,9,IF(B12=N9,13,IF(B12=N10,17,IF(B12=N11,23,IF(B12=N12,25,IF(B12=N13,25,0)))))))))))</f>
        <v>0</v>
      </c>
      <c r="C66" s="68">
        <f>IF(B12=N3,"4",IF(B12=N4,"5",IF(B12=N5,"4",IF(B12=N6,"7",IF(B12=N7,10,IF(B12=N8,13,IF(B12=N9,16,IF(B12=N10,21,IF(B12=N11,26,IF(B12=N12,29,IF(B12=N13,30,0)))))))))))</f>
        <v>0</v>
      </c>
      <c r="D66" s="68">
        <f>IF(B12=N3,"Max de répétitions",IF(B12=N4,"Max de répétitions",IF(B12=N5,"Max de répétitions et minimum 4",IF(B12=N6,"Max de répétitions et minimum 6",IF(B12=N7,"Max de répétitions et minimum 9",IF(B12=N8,"Max de répétitions et minimum 12",IF(B12=N9,"Max de répétitions et minimum 16",IF(B12=N10,"Max de répétitions et minimum 20",IF(B12=N11,"Max de répétitions et minimum 25",IF(B12=N12,"Max de répétitions et minimum 29",IF(B12=N13,"Max de répétitions et minimum 29",0)))))))))))</f>
        <v>0</v>
      </c>
      <c r="E66" s="112"/>
      <c r="F66" s="68" t="s">
        <v>128</v>
      </c>
      <c r="G66" s="68" t="s">
        <v>128</v>
      </c>
      <c r="H66" s="70"/>
    </row>
    <row r="67" spans="1:8" x14ac:dyDescent="0.25">
      <c r="A67" s="72" t="s">
        <v>384</v>
      </c>
      <c r="B67" s="208" t="s">
        <v>324</v>
      </c>
      <c r="C67" s="209"/>
      <c r="D67" s="209"/>
      <c r="E67" s="209"/>
      <c r="H67" s="147" t="s">
        <v>325</v>
      </c>
    </row>
    <row r="68" spans="1:8" ht="15.75" thickBot="1" x14ac:dyDescent="0.3">
      <c r="A68" s="73" t="s">
        <v>2</v>
      </c>
      <c r="B68" s="74" t="s">
        <v>3</v>
      </c>
      <c r="C68" s="74" t="s">
        <v>4</v>
      </c>
      <c r="D68" s="74" t="s">
        <v>5</v>
      </c>
      <c r="E68" s="74" t="s">
        <v>6</v>
      </c>
      <c r="F68" s="74" t="s">
        <v>124</v>
      </c>
      <c r="G68" s="74" t="s">
        <v>125</v>
      </c>
      <c r="H68" s="74" t="s">
        <v>123</v>
      </c>
    </row>
    <row r="69" spans="1:8" x14ac:dyDescent="0.25">
      <c r="A69" s="251" t="s">
        <v>379</v>
      </c>
      <c r="B69" s="68">
        <f>IF(B15=M3,"3",IF(B15=M4,"6",IF(B15=M5,"9",IF(B15=M6,"14",IF(B15=M7,20,IF(B15=M8,10,IF(B15=M9,10,IF(B15=M10,19,IF(B15=M11,19,IF(B15=M12,20,IF(B15=M13,22,IF(B15=M14,22,0))))))))))))</f>
        <v>0</v>
      </c>
      <c r="C69" s="68">
        <f>IF(B15=M3,"4",IF(B15=M4,"7",IF(B15=M5,"10",IF(B15=M6,"19",IF(B15=M7,25,IF(B15=M8,13,IF(B15=M9,15,IF(B15=M10,22,IF(B15=M11,23,IF(B15=M12,23,IF(B15=M13,27,IF(B15=M14,30,0))))))))))))</f>
        <v>0</v>
      </c>
      <c r="D69" s="68">
        <f>IF(B15=M3,"2",IF(B15=M4,"6",IF(B15=M5,"8",IF(B15=M6,"14",IF(B15=M7,15,IF(B15=M8,10,IF(B15=M9,18,IF(B15=M10,18,IF(B15=M11,19,IF(B15=M12,20,IF(B15=M13,24,IF(B15=M14,24,0))))))))))))</f>
        <v>0</v>
      </c>
      <c r="E69" s="68">
        <f>IF(B15=M3,"Max de répétitions et minimum 4",IF(B15=M4,"Max de répétitions et minimum 7",IF(B15=M5,"Max de répétitions et minimum 10",IF(B15=M6,"Max de répétitions et minimum 19",IF(B15=M7,"Max de répétitions et minimum 23",IF(B15=M8,"Max de répétitions et minimum 25",IF(B15=M9,"Max de répétitions et minimum 30",IF(B15=M10,"Max de répétitions et minimum 35",IF(B15=M11,"Max de répétitions et minimum 37",IF(B15=M12,"Max de répétitions et minimum 53",IF(B15=M13,"Max de répétitions et minimum 58",IF(B15=M14,"Max de répétitions et minimum 59",0))))))))))))</f>
        <v>0</v>
      </c>
      <c r="F69" s="68" t="s">
        <v>128</v>
      </c>
      <c r="G69" s="68" t="s">
        <v>128</v>
      </c>
      <c r="H69" s="68"/>
    </row>
    <row r="70" spans="1:8" x14ac:dyDescent="0.25">
      <c r="A70" s="105" t="s">
        <v>148</v>
      </c>
      <c r="B70" s="68">
        <f>IF(B16=N3,"3",IF(B16=N4,"5",IF(B16=N5,"2",IF(B16=N6,"4",IF(B16=N7,6,IF(B16=N8,9,IF(B16=N9,13,IF(B16=N10,16,IF(B16=N11,22,IF(B16=N12,24,IF(B16=N13,25,0)))))))))))</f>
        <v>0</v>
      </c>
      <c r="C70" s="68">
        <f>IF(B16=N3,"8",IF(B16=N4,"9",IF(B16=N5,"3",IF(B16=N6,"6",IF(B16=N7,9,IF(B16=N8,12,IF(B16=N9,16,IF(B16=N10,20,IF(B16=N11,25,IF(B16=N12,28,IF(B16=N13,29,0)))))))))))</f>
        <v>0</v>
      </c>
      <c r="D70" s="68">
        <f>IF(B16=N3,"6",IF(B16=N4,"7",IF(B16=N5,"2",IF(B16=N6,"4",IF(B16=N7,6,IF(B16=N8,9,IF(B16=N9,12,IF(B16=N10,16,IF(B16=N11,21,IF(B16=N12,24,IF(B16=N13,25,0)))))))))))</f>
        <v>0</v>
      </c>
      <c r="E70" s="68">
        <f>IF(B16=N3,"6",IF(B16=N4,"7",IF(B16=N5,"Max de répétitions et minimum 4",IF(B16=N6,"Max de répétitions et minimum 6",IF(B16=N7,"Max de répétitions et minimum 9",IF(B16=N8,"Max de répétitions et minimum 11",IF(B16=N9,"Max de répétitions et minimum 16",IF(B16=N10,"Max de répétitions et minimum 19",IF(B16=N11,"Max de répétitions et minimum 25",IF(B16=N12,"Max de répétitions et minimum 28",IF(B16=N13,"Max de répétitions et minimum 28",0)))))))))))</f>
        <v>0</v>
      </c>
      <c r="F70" s="68" t="s">
        <v>128</v>
      </c>
      <c r="G70" s="68" t="s">
        <v>128</v>
      </c>
      <c r="H70" s="68" t="str">
        <f>IF(OR(B16=N3,B16=N4),"Toutes les répétitions en excentrique : voir vidéo","")</f>
        <v/>
      </c>
    </row>
    <row r="71" spans="1:8" x14ac:dyDescent="0.25">
      <c r="A71" s="252" t="s">
        <v>147</v>
      </c>
      <c r="B71" s="68">
        <f>IF(B17=M3,"3",IF(B17=M4,"6",IF(B17=M5,"9",IF(B17=M6,"14",IF(B17=M7,20,IF(B17=M8,10,IF(B17=M9,10,IF(B17=M10,19,IF(B17=M11,19,IF(B17=M12,20,IF(B17=M13,22,IF(B17=M14,22,0))))))))))))</f>
        <v>0</v>
      </c>
      <c r="C71" s="68">
        <f>IF(B17=M3,"4",IF(B17=M4,"7",IF(B17=M5,"10",IF(B17=M6,"19",IF(B17=M7,25,IF(B17=M8,13,IF(B17=M9,15,IF(B17=M10,22,IF(B17=M11,23,IF(B17=M12,23,IF(B17=M13,27,IF(B17=M14,30,0))))))))))))</f>
        <v>0</v>
      </c>
      <c r="D71" s="68">
        <f>IF(B17=M3,"2",IF(B17=M4,"6",IF(B17=M5,"8",IF(B17=M6,"14",IF(B17=M7,15,IF(B17=M8,10,IF(B17=M9,18,IF(B17=M10,18,IF(B17=M11,19,IF(B17=M12,20,IF(B17=M13,24,IF(B17=M14,24,0))))))))))))</f>
        <v>0</v>
      </c>
      <c r="E71" s="68">
        <f>IF(B17=M3,"Max de répétitions et minimum 4",IF(B17=M4,"Max de répétitions et minimum 7",IF(B17=M5,"Max de répétitions et minimum 10",IF(B17=M6,"Max de répétitions et minimum 19",IF(B17=M7,"Max de répétitions et minimum 23",IF(B17=M8,"Max de répétitions et minimum 25",IF(B17=M9,"Max de répétitions et minimum 30",IF(B17=M10,"Max de répétitions et minimum 35",IF(B17=M11,"Max de répétitions et minimum 37",IF(B17=M12,"Max de répétitions et minimum 53",IF(B17=M13,"Max de répétitions et minimum 58",IF(B17=M14,"Max de répétitions et minimum 59",0))))))))))))</f>
        <v>0</v>
      </c>
      <c r="F71" s="68" t="s">
        <v>128</v>
      </c>
      <c r="G71" s="68" t="s">
        <v>128</v>
      </c>
      <c r="H71" s="68"/>
    </row>
    <row r="72" spans="1:8" x14ac:dyDescent="0.25">
      <c r="A72" s="253" t="s">
        <v>327</v>
      </c>
      <c r="B72" s="68">
        <f>IF(B18=N3,"3",IF(B18=N4,"3",IF(B18=N5,"2",IF(B18=N6,"4",IF(B18=N7,6,IF(B18=N8,9,IF(B18=N9,13,IF(B18=N10,16,IF(B18=N11,22,IF(B18=N12,24,IF(B18=N13,25,0)))))))))))</f>
        <v>0</v>
      </c>
      <c r="C72" s="68">
        <f>IF(B18=N3,"3",IF(B18=N4,"4",IF(B18=N5,"3",IF(B18=N6,"6",IF(B18=N7,9,IF(B18=N8,12,IF(B18=N9,16,IF(B18=N10,20,IF(B18=N11,25,IF(B18=N12,28,IF(B18=N13,29,0)))))))))))</f>
        <v>0</v>
      </c>
      <c r="D72" s="68">
        <f>IF(B18=N3,"Max de répétitions",IF(B18=N4,"Max de répétitions",IF(B18=N5,"Max de répétitions et minimum 4",IF(B18=N6,"Max de répétitions et minimum 6",IF(B18=N7,"Max de répétitions et minimum 9",IF(B18=N8,"Max de répétitions et minimum 12",IF(B18=N9,"Max de répétitions et minimum 16",IF(B18=N10,"Max de répétitions et minimum 20",IF(B18=N11,"Max de répétitions et minimum 25",IF(B18=N12,"Max de répétitions et minimum 29",IF(B18=N13,"Max de répétitions et minimum 29",0)))))))))))</f>
        <v>0</v>
      </c>
      <c r="E72" s="112"/>
      <c r="F72" s="68" t="s">
        <v>131</v>
      </c>
      <c r="G72" s="68" t="s">
        <v>131</v>
      </c>
      <c r="H72" s="68"/>
    </row>
    <row r="73" spans="1:8" x14ac:dyDescent="0.25">
      <c r="A73" s="105" t="s">
        <v>164</v>
      </c>
      <c r="B73" s="68">
        <f>IF(B19=N3,"3",IF(B19=N4,"3",IF(B19=N5,"2",IF(B19=N6,"4",IF(B19=N7,6,IF(B19=N8,9,IF(B19=N9,13,IF(B19=N10,16,IF(B19=N11,22,IF(B19=N12,24,IF(B19=N13,25,0)))))))))))</f>
        <v>0</v>
      </c>
      <c r="C73" s="68">
        <f>IF(B19=N3,"3",IF(B19=N4,"4",IF(B19=N5,"3",IF(B19=N6,"6",IF(B19=N7,9,IF(B19=N8,12,IF(B19=N9,16,IF(B19=N10,20,IF(B19=N11,25,IF(B19=N12,28,IF(B19=N13,29,0)))))))))))</f>
        <v>0</v>
      </c>
      <c r="D73" s="68">
        <f>IF(B19=N3,"Max de répétitions",IF(B19=N4,"Max de répétitions",IF(B19=N5,"Max de répétitions et minimum 4",IF(B19=N6,"Max de répétitions et minimum 6",IF(B19=N7,"Max de répétitions et minimum 9",IF(B19=N8,"Max de répétitions et minimum 12",IF(B19=N9,"Max de répétitions et minimum 16",IF(B19=N10,"Max de répétitions et minimum 20",IF(B19=N11,"Max de répétitions et minimum 25",IF(B19=N12,"Max de répétitions et minimum 29",IF(B19=N13,"Max de répétitions et minimum 29",0)))))))))))</f>
        <v>0</v>
      </c>
      <c r="E73" s="112"/>
      <c r="F73" s="68" t="s">
        <v>131</v>
      </c>
      <c r="G73" s="68" t="s">
        <v>131</v>
      </c>
      <c r="H73" s="68"/>
    </row>
    <row r="74" spans="1:8" x14ac:dyDescent="0.25">
      <c r="A74" s="214" t="s">
        <v>152</v>
      </c>
      <c r="B74" s="215"/>
      <c r="C74" s="215"/>
      <c r="D74" s="215"/>
      <c r="E74" s="215"/>
      <c r="F74" s="215"/>
      <c r="G74" s="215"/>
      <c r="H74" s="215"/>
    </row>
    <row r="75" spans="1:8" ht="15.75" thickBot="1" x14ac:dyDescent="0.3">
      <c r="A75" s="88" t="s">
        <v>385</v>
      </c>
      <c r="B75" s="219" t="s">
        <v>324</v>
      </c>
      <c r="C75" s="220"/>
      <c r="D75" s="220"/>
      <c r="E75" s="220"/>
      <c r="H75" s="147" t="s">
        <v>325</v>
      </c>
    </row>
    <row r="76" spans="1:8" x14ac:dyDescent="0.25">
      <c r="A76" s="60" t="s">
        <v>2</v>
      </c>
      <c r="B76" s="74" t="s">
        <v>3</v>
      </c>
      <c r="C76" s="74" t="s">
        <v>4</v>
      </c>
      <c r="D76" s="74" t="s">
        <v>5</v>
      </c>
      <c r="E76" s="74" t="s">
        <v>6</v>
      </c>
      <c r="F76" s="74" t="s">
        <v>124</v>
      </c>
      <c r="G76" s="74" t="s">
        <v>125</v>
      </c>
      <c r="H76" s="74" t="s">
        <v>123</v>
      </c>
    </row>
    <row r="77" spans="1:8" x14ac:dyDescent="0.25">
      <c r="A77" s="79" t="s">
        <v>302</v>
      </c>
      <c r="B77" s="65">
        <f>IF(B22=O3,"6",IF(B22=O4,"10",IF(B22=O5,"16",IF(B22=O6,"22",IF(B22=O7,26,IF(B22=O8,32,IF(B22=O9,40,IF(B22=O10,44,IF(B22=O11,50,IF(B22=O12,54,IF(B22=O13,50,IF(B22=O14,50,IF(B22=O15,58,IF(B22=O16,64,0))))))))))))))</f>
        <v>0</v>
      </c>
      <c r="C77" s="65">
        <f>IF(B22=O3,"6",IF(B22=O4,"10",IF(B22=O5,"14",IF(B22=O6,"22",IF(B22=O7,26,IF(B22=O8,32,IF(B22=O9,38,IF(B22=O10,44,IF(B22=O11,50,IF(B22=O12,54,IF(B22=O13,50,IF(B22=O14,52,IF(B22=O15,54,IF(B22=O16,64,0))))))))))))))</f>
        <v>0</v>
      </c>
      <c r="D77" s="65">
        <f>IF(B22=O3,"6",IF(B22=O4,"10",IF(B22=O5,"15",IF(B22=O6,"23",IF(B22=O7,27,IF(B22=O8,32,IF(B22=O9,38,IF(B22=O10,46,IF(B22=O11,50,IF(B22=O12,54,IF(B22=O13,42,IF(B22=O14,54,IF(B22=O15,57,IF(B22=O16,62,0))))))))))))))</f>
        <v>0</v>
      </c>
      <c r="E77" s="65">
        <f>IF(B22=O3,"Max de répétitions et minimum 8",IF(B22=O4,"Max de répétitions et minimum 10",IF(B22=O5,"Max de répétitions et minimum 18",IF(B22=O6,"Max de répétitions et minimum 24",IF(B22=O7,"Max de répétitions et minimum 28",IF(B22=O8,"Max de répétitions et minimum 34",IF(B22=O9,"Max de répétitions et minimum 40",IF(B22=O10,"Max de répétitions et minimum 46",IF(B22=O11,"Max de répétitions et minimum 52",IF(B22=O12,"Max de répétitions et minimum 60",IF(B22=O13,"Max de répétitions et minimum 44",IF(B22=O14,"Max de répétitions et minimum 56",IF(B22=O15,"Max de répétitions et minimum 60",IF(B22=O16,"Max de répétitions et minimum 64",0))))))))))))))</f>
        <v>0</v>
      </c>
      <c r="F77" s="68" t="s">
        <v>128</v>
      </c>
      <c r="G77" s="68" t="s">
        <v>127</v>
      </c>
      <c r="H77" s="67" t="s">
        <v>387</v>
      </c>
    </row>
    <row r="78" spans="1:8" x14ac:dyDescent="0.25">
      <c r="A78" s="79" t="s">
        <v>166</v>
      </c>
      <c r="B78" s="68">
        <f>IF(B23=N3,"3",IF(B23=N4,"3",IF(B23=N5,"2",IF(B23=N6,"4",IF(B23=N7,6,IF(B23=N8,9,IF(B23=N9,13,IF(B23=N10,16,IF(B23=N11,22,IF(B23=N12,24,IF(B23=N13,25,0)))))))))))</f>
        <v>0</v>
      </c>
      <c r="C78" s="68">
        <f>IF(B23=N3,"3",IF(B23=N4,"4",IF(B23=N5,"3",IF(B23=N6,"6",IF(B23=N7,9,IF(B23=N8,12,IF(B23=N9,16,IF(B23=N10,20,IF(B23=N11,25,IF(B23=N12,28,IF(B23=N13,29,0)))))))))))</f>
        <v>0</v>
      </c>
      <c r="D78" s="68">
        <f>IF(B23=N3,"2",IF(B23=N4,"3",IF(B23=N5,"2",IF(B23=N6,"4",IF(B23=N7,6,IF(B23=N8,9,IF(B23=N9,12,IF(B23=N10,16,IF(B23=N11,21,IF(B23=N12,24,IF(B23=N13,25,0)))))))))))</f>
        <v>0</v>
      </c>
      <c r="E78" s="68">
        <f>IF(B23=N3,"Max de répétitions",IF(B23=N4,"Max de répétitions",IF(B23=N5,"Max de répétitions et minimum 4",IF(B23=N6,"Max de répétitions et minimum 6",IF(B23=N7,"Max de répétitions et minimum 9",IF(B23=N8,"Max de répétitions et minimum 11",IF(B23=N9,"Max de répétitions et minimum 16",IF(B23=N10,"Max de répétitions et minimum 19",IF(B23=N11,"Max de répétitions et minimum 25",IF(B23=N12,"Max de répétitions et minimum 28",IF(B23=N13,"Max de répétitions et minimum 28",0)))))))))))</f>
        <v>0</v>
      </c>
      <c r="F78" s="68" t="s">
        <v>130</v>
      </c>
      <c r="G78" s="68" t="s">
        <v>128</v>
      </c>
      <c r="H78" s="69"/>
    </row>
    <row r="79" spans="1:8" x14ac:dyDescent="0.25">
      <c r="A79" s="79" t="s">
        <v>174</v>
      </c>
      <c r="B79" s="68">
        <f>IF(B24=N3,"3",IF(B24=N4,"3",IF(B24=N5,"2",IF(B24=N6,"4",IF(B24=N7,6,IF(B24=N8,9,IF(B24=N9,13,IF(B24=N10,16,IF(B24=N11,22,IF(B24=N12,24,IF(B24=N13,25,0)))))))))))</f>
        <v>0</v>
      </c>
      <c r="C79" s="68">
        <f>IF(B24=N3,"3",IF(B24=N4,"4",IF(B24=N5,"3",IF(B24=N6,"6",IF(B24=N7,9,IF(B24=N8,12,IF(B24=N9,16,IF(B24=N10,20,IF(B24=N11,25,IF(B24=N12,28,IF(B24=N13,29,0)))))))))))</f>
        <v>0</v>
      </c>
      <c r="D79" s="68">
        <f>IF(B24=N3,"2",IF(B24=N4,"3",IF(B24=N5,"2",IF(B24=N6,"4",IF(B24=N7,6,IF(B24=N8,9,IF(B24=N9,12,IF(B24=N10,16,IF(B24=N11,21,IF(B24=N12,24,IF(B24=N13,25,0)))))))))))</f>
        <v>0</v>
      </c>
      <c r="E79" s="68">
        <f>IF(B24=N3,"Max de répétitions",IF(B24=N4,"Max de répétitions",IF(B24=N5,"Max de répétitions et minimum 4",IF(B24=N6,"Max de répétitions et minimum 6",IF(B24=N7,"Max de répétitions et minimum 9",IF(B24=N8,"Max de répétitions et minimum 11",IF(B24=N9,"Max de répétitions et minimum 16",IF(B24=N10,"Max de répétitions et minimum 19",IF(B24=N11,"Max de répétitions et minimum 25",IF(B24=N12,"Max de répétitions et minimum 28",IF(B24=N13,"Max de répétitions et minimum 28",0)))))))))))</f>
        <v>0</v>
      </c>
      <c r="F79" s="68" t="s">
        <v>130</v>
      </c>
      <c r="G79" s="68" t="s">
        <v>128</v>
      </c>
      <c r="H79" s="69"/>
    </row>
    <row r="80" spans="1:8" x14ac:dyDescent="0.25">
      <c r="A80" s="79" t="s">
        <v>171</v>
      </c>
      <c r="B80" s="68">
        <f>IF(B25=M3,"4",IF(B25=M4,"8",IF(B25=M5,"11",IF(B25=M6,"16",IF(B25=M7,20,IF(B25=M8,13,IF(B25=M9,18,IF(B25=M10,20,IF(B25=M11,20,IF(B25=M12,22,IF(B25=M13,26,IF(B25=M14,28,0))))))))))))</f>
        <v>0</v>
      </c>
      <c r="C80" s="68">
        <f>IF(B25=M3,"5",IF(B25=M4,"10",IF(B25=M5,"13",IF(B25=M6,"21",IF(B25=M7,27,IF(B25=M8,13,IF(B25=M9,20,IF(B25=M10,24,IF(B25=M11,27,IF(B25=M12,30,IF(B25=M13,33,IF(B25=M14,35,0))))))))))))</f>
        <v>0</v>
      </c>
      <c r="D80" s="68">
        <f>IF(B25=M3,"Max de répétitions et minimum 5",IF(B25=M4,"Max de répétitions et minimum 10",IF(B25=M5,"Max de répétitions et minimum 13",IF(B25=M6,"Max de répétitions et minimum 21",IF(B25=M7,"Max de répétitions et minimum 25",IF(B25=M8,"Max de répétitions et minimum 30",IF(B25=M9,"Max de répétitions et minimum 35",IF(B25=M10,"Max de répétitions et minimum 40",IF(B25=M11,"Max de répétitions et minimum 44",IF(B25=M12,"Max de répétitions et minimum 55",IF(B25=M13,"Max de répétitions et minimum 60",IF(B25=M14,"Max de répétitions et minimum 60",0))))))))))))</f>
        <v>0</v>
      </c>
      <c r="E80" s="112"/>
      <c r="F80" s="68" t="s">
        <v>173</v>
      </c>
      <c r="G80" s="68" t="s">
        <v>131</v>
      </c>
      <c r="H80" s="70"/>
    </row>
    <row r="81" spans="1:8" ht="15.75" thickBot="1" x14ac:dyDescent="0.3">
      <c r="A81" s="79" t="s">
        <v>161</v>
      </c>
      <c r="B81" s="68">
        <f>IF(B26=N3,"3",IF(B26=N4,"3",IF(B26=N5,"2",IF(B26=N6,"4",IF(B26=N7,6,IF(B26=N8,9,IF(B26=N9,13,IF(B26=N10,16,IF(B26=N11,22,IF(B26=N12,24,IF(B26=N13,25,0)))))))))))</f>
        <v>0</v>
      </c>
      <c r="C81" s="68">
        <f>IF(B26=N3,"3",IF(B26=N4,"4",IF(B26=N5,"3",IF(B26=N6,"6",IF(B26=N7,9,IF(B26=N8,12,IF(B26=N9,16,IF(B26=N10,20,IF(B26=N11,25,IF(B26=N12,28,IF(B26=N13,29,0)))))))))))</f>
        <v>0</v>
      </c>
      <c r="D81" s="68">
        <f>IF(B26=N3,"Max de répétitions",IF(B26=N4,"Max de répétitions",IF(B26=N5,"Max de répétitions et minimum 4",IF(B26=N6,"Max de répétitions et minimum 6",IF(B26=N7,"Max de répétitions et minimum 9",IF(B26=N8,"Max de répétitions et minimum 11",IF(B26=N9,"Max de répétitions et minimum 16",IF(B26=N10,"Max de répétitions et minimum 19",IF(B26=N11,"Max de répétitions et minimum 25",IF(B26=N12,"Max de répétitions et minimum 28",IF(B26=N13,"Max de répétitions et minimum 28",0)))))))))))</f>
        <v>0</v>
      </c>
      <c r="E81" s="112"/>
      <c r="F81" s="68" t="s">
        <v>131</v>
      </c>
      <c r="G81" s="112"/>
      <c r="H81" s="70"/>
    </row>
    <row r="82" spans="1:8" x14ac:dyDescent="0.25">
      <c r="A82" s="72" t="s">
        <v>395</v>
      </c>
      <c r="B82" s="208" t="s">
        <v>324</v>
      </c>
      <c r="C82" s="209"/>
      <c r="D82" s="209"/>
      <c r="E82" s="209"/>
      <c r="H82" s="147" t="s">
        <v>325</v>
      </c>
    </row>
    <row r="83" spans="1:8" x14ac:dyDescent="0.25">
      <c r="A83" s="73" t="s">
        <v>2</v>
      </c>
      <c r="B83" s="74" t="s">
        <v>3</v>
      </c>
      <c r="C83" s="74" t="s">
        <v>4</v>
      </c>
      <c r="D83" s="74" t="s">
        <v>5</v>
      </c>
      <c r="E83" s="74" t="s">
        <v>6</v>
      </c>
      <c r="F83" s="74" t="s">
        <v>124</v>
      </c>
      <c r="G83" s="74" t="s">
        <v>125</v>
      </c>
      <c r="H83" s="74" t="s">
        <v>123</v>
      </c>
    </row>
    <row r="84" spans="1:8" x14ac:dyDescent="0.25">
      <c r="A84" s="246" t="s">
        <v>155</v>
      </c>
      <c r="B84" s="65">
        <f>IF(B9=N3,"5",IF(B9=N4,"6",IF(B9=N5,"3",IF(B9=N6,"5",IF(B9=N7,7,IF(B9=N8,10,IF(B9=N9,14,IF(B9=N10,17,IF(B9=N11,24,IF(B9=N12,26,IF(B9=N13,26,0)))))))))))</f>
        <v>0</v>
      </c>
      <c r="C84" s="65">
        <f>IF(B9=N3,"8",IF(B9=N4,"11",IF(B9=N5,"4",IF(B9=N6,"8",IF(B9=N7,10,IF(B9=N8,14,IF(B9=N9,19,IF(B9=N10,22,IF(B9=N11,27,IF(B9=N12,30,IF(B9=N13,31,0)))))))))))</f>
        <v>0</v>
      </c>
      <c r="D84" s="65">
        <f>IF(B9=N3,"7",IF(B9=N4,"8",IF(B9=N5,"3",IF(B9=N6,"5",IF(B9=N7,7,IF(B9=N8,10,IF(B9=N9,13,IF(B9=N10,17,IF(B9=N11,24,IF(B9=N12,25,IF(B9=N13,25,0)))))))))))</f>
        <v>0</v>
      </c>
      <c r="E84" s="65">
        <f>IF(B9=N3,"7",IF(B9=N4,"8",IF(B9=N5,"Max de répétitions et minimum 4",IF(B9=N6,"Max de répétitions et minimum 8",IF(B9=N7,"Max de répétitions et minimum 10",IF(B9=N8,"Max de répétitions et minimum 13",IF(B9=N9,"Max de répétitions et minimum 19",IF(B9=N10,"Max de répétitions et minimum 22",IF(B9=N11,"Max de répétitions et minimum 26",IF(B9=N12,"Max de répétitions et minimum 30",IF(B9=N13,"Max de répétitions et minimum 31",0)))))))))))</f>
        <v>0</v>
      </c>
      <c r="F84" s="68" t="s">
        <v>128</v>
      </c>
      <c r="G84" s="68" t="s">
        <v>128</v>
      </c>
      <c r="H84" s="67" t="str">
        <f>IF(OR(B9=N3,B9=N4),"Toutes les répétitions en excentrique","")</f>
        <v/>
      </c>
    </row>
    <row r="85" spans="1:8" x14ac:dyDescent="0.25">
      <c r="A85" s="246" t="s">
        <v>328</v>
      </c>
      <c r="B85" s="68">
        <f>IF(B10=N3,"5",IF(B10=N4,"6",IF(B10=N5,"3",IF(B10=N6,"5",IF(B10=N7,7,IF(B10=N8,10,IF(B10=N9,14,IF(B10=N10,17,IF(B10=N11,24,IF(B10=N12,26,IF(B10=N13,26,0)))))))))))</f>
        <v>0</v>
      </c>
      <c r="C85" s="68">
        <f>IF(B10=N3,"4",IF(B10=N4,"6",IF(B10=N5,"4",IF(B10=N6,"8",IF(B10=N7,10,IF(B10=N8,14,IF(B10=N9,19,IF(B10=N10,22,IF(B10=N11,27,IF(B10=N12,30,IF(B10=N13,31,0)))))))))))</f>
        <v>0</v>
      </c>
      <c r="D85" s="68">
        <f>IF(B10=N3,"4",IF(B10=N4,"4",IF(B10=N5,"3",IF(B10=N6,"5",IF(B10=N7,7,IF(B10=N8,10,IF(B10=N9,13,IF(B10=N10,17,IF(B10=N11,24,IF(B10=N12,25,IF(B10=N13,25,0)))))))))))</f>
        <v>0</v>
      </c>
      <c r="E85" s="68">
        <f>IF(B10=N3,"Max de répétitions",IF(B10=N4,"Max de répétitions",IF(B10=N5,"Max de répétitions et minimum 4",IF(B10=N6,"Max de répétitions et minimum 8",IF(B10=N7,"Max de répétitions et minimum 10",IF(B10=N8,"Max de répétitions et minimum 13",IF(B10=N9,"Max de répétitions et minimum 19",IF(B10=N10,"Max de répétitions et minimum 22",IF(B10=N11,"Max de répétitions et minimum 26",IF(B10=N12,"Max de répétitions et minimum 30",IF(B10=N13,"Max de répétitions et minimum 31",0)))))))))))</f>
        <v>0</v>
      </c>
      <c r="F85" s="68" t="s">
        <v>128</v>
      </c>
      <c r="G85" s="68" t="s">
        <v>128</v>
      </c>
      <c r="H85" s="69"/>
    </row>
    <row r="86" spans="1:8" x14ac:dyDescent="0.25">
      <c r="A86" s="246" t="s">
        <v>394</v>
      </c>
      <c r="B86" s="68">
        <f>IF(B11=N3,"5",IF(B11=N4,"6",IF(B11=N5,"3",IF(B11=N6,"5",IF(B11=N7,7,IF(B11=N8,10,IF(B11=N9,14,IF(B11=N10,17,IF(B11=N11,24,IF(B11=N12,26,IF(B11=N13,26,0)))))))))))</f>
        <v>0</v>
      </c>
      <c r="C86" s="68">
        <f>IF(B11=N3,"4",IF(B11=N4,"6",IF(B11=N5,"4",IF(B11=N6,"8",IF(B11=N7,10,IF(B11=N8,14,IF(B11=N9,19,IF(B11=N10,22,IF(B11=N11,27,IF(B11=N12,30,IF(B11=N13,31,0)))))))))))</f>
        <v>0</v>
      </c>
      <c r="D86" s="68">
        <f>IF(B11=N3,"Max de répétitions",IF(B11=N4,"Max de répétitions",IF(B11=N5,"Max de répétitions et minimum 4",IF(B11=N6,"Max de répétitions et minimum 8",IF(B11=N7,"Max de répétitions et minimum 10",IF(B11=N8,"Max de répétitions et minimum 13",IF(B11=N9,"Max de répétitions et minimum 19",IF(B11=N10,"Max de répétitions et minimum 22",IF(B11=N11,"Max de répétitions et minimum 26",IF(B11=N12,"Max de répétitions et minimum 30",IF(B11=N13,"Max de répétitions et minimum 31",0)))))))))))</f>
        <v>0</v>
      </c>
      <c r="E86" s="112"/>
      <c r="F86" s="68" t="s">
        <v>128</v>
      </c>
      <c r="G86" s="68" t="s">
        <v>128</v>
      </c>
      <c r="H86" s="69"/>
    </row>
    <row r="87" spans="1:8" ht="15.75" thickBot="1" x14ac:dyDescent="0.3">
      <c r="A87" s="242" t="s">
        <v>277</v>
      </c>
      <c r="B87" s="68">
        <f>IF(B12=N3,"5",IF(B12=N4,"6",IF(B12=N5,"3",IF(B12=N6,"5",IF(B12=N7,7,IF(B12=N8,10,IF(B12=N9,14,IF(B12=N10,17,IF(B12=N11,24,IF(B12=N12,26,IF(B12=N13,26,0)))))))))))</f>
        <v>0</v>
      </c>
      <c r="C87" s="68">
        <f>IF(B12=N3,"4",IF(B12=N4,"6",IF(B12=N5,"4",IF(B12=N6,"8",IF(B12=N7,10,IF(B12=N8,14,IF(B12=N9,19,IF(B12=N10,22,IF(B12=N11,27,IF(B12=N12,30,IF(B12=N13,31,0)))))))))))</f>
        <v>0</v>
      </c>
      <c r="D87" s="68">
        <f>IF(B12=N3,"Max de répétitions",IF(B12=N4,"Max de répétitions",IF(B12=N5,"Max de répétitions et minimum 4",IF(B12=N6,"Max de répétitions et minimum 8",IF(B12=N7,"Max de répétitions et minimum 10",IF(B12=N8,"Max de répétitions et minimum 13",IF(B12=N9,"Max de répétitions et minimum 19",IF(B12=N10,"Max de répétitions et minimum 22",IF(B12=N11,"Max de répétitions et minimum 26",IF(B12=N12,"Max de répétitions et minimum 30",IF(B12=N13,"Max de répétitions et minimum 31",0)))))))))))</f>
        <v>0</v>
      </c>
      <c r="E87" s="112"/>
      <c r="F87" s="68" t="s">
        <v>128</v>
      </c>
      <c r="G87" s="68" t="s">
        <v>128</v>
      </c>
      <c r="H87" s="70"/>
    </row>
    <row r="88" spans="1:8" x14ac:dyDescent="0.25">
      <c r="A88" s="214" t="s">
        <v>139</v>
      </c>
      <c r="B88" s="215"/>
      <c r="C88" s="215"/>
      <c r="D88" s="215"/>
      <c r="E88" s="215"/>
      <c r="F88" s="215"/>
      <c r="G88" s="215"/>
      <c r="H88" s="215"/>
    </row>
    <row r="89" spans="1:8" x14ac:dyDescent="0.25">
      <c r="A89" s="214" t="s">
        <v>140</v>
      </c>
      <c r="B89" s="215"/>
      <c r="C89" s="215"/>
      <c r="D89" s="215"/>
      <c r="E89" s="215"/>
      <c r="F89" s="215"/>
      <c r="G89" s="215"/>
      <c r="H89" s="215"/>
    </row>
    <row r="90" spans="1:8" x14ac:dyDescent="0.25">
      <c r="A90" s="77"/>
      <c r="B90" s="77"/>
      <c r="C90" s="77"/>
      <c r="D90" s="77"/>
      <c r="E90" s="77"/>
      <c r="F90" s="77"/>
      <c r="G90" s="77"/>
      <c r="H90" s="77"/>
    </row>
    <row r="91" spans="1:8" ht="15.75" thickBot="1" x14ac:dyDescent="0.3">
      <c r="A91" s="213" t="s">
        <v>167</v>
      </c>
      <c r="B91" s="213"/>
      <c r="C91" s="213"/>
      <c r="D91" s="213"/>
      <c r="E91" s="213"/>
      <c r="F91" s="213"/>
      <c r="G91" s="213"/>
      <c r="H91" s="213"/>
    </row>
    <row r="92" spans="1:8" x14ac:dyDescent="0.25">
      <c r="A92" s="72" t="s">
        <v>386</v>
      </c>
      <c r="B92" s="208" t="s">
        <v>324</v>
      </c>
      <c r="C92" s="209"/>
      <c r="D92" s="209"/>
      <c r="E92" s="209"/>
      <c r="H92" s="147" t="s">
        <v>325</v>
      </c>
    </row>
    <row r="93" spans="1:8" x14ac:dyDescent="0.25">
      <c r="A93" s="73" t="s">
        <v>2</v>
      </c>
      <c r="B93" s="74" t="s">
        <v>3</v>
      </c>
      <c r="C93" s="74" t="s">
        <v>4</v>
      </c>
      <c r="D93" s="74" t="s">
        <v>5</v>
      </c>
      <c r="E93" s="74" t="s">
        <v>6</v>
      </c>
      <c r="F93" s="74" t="s">
        <v>124</v>
      </c>
      <c r="G93" s="74" t="s">
        <v>125</v>
      </c>
      <c r="H93" s="74" t="s">
        <v>123</v>
      </c>
    </row>
    <row r="94" spans="1:8" x14ac:dyDescent="0.25">
      <c r="A94" s="246" t="s">
        <v>155</v>
      </c>
      <c r="B94" s="65">
        <f>IF(B9=N3,"5",IF(B9=N4,"7",IF(B9=N5,"3",IF(B9=N6,"6",IF(B9=N7,8,IF(B9=N8,11,IF(B9=N9,14,IF(B9=N10,18,IF(B9=N11,25,IF(B9=N12,26,IF(B9=N13,26,0)))))))))))</f>
        <v>0</v>
      </c>
      <c r="C94" s="65">
        <f>IF(B9=N3,"10",IF(B9=N4,"12",IF(B9=N5,"4",IF(B9=N6,"9",IF(B9=N7,11,IF(B9=N8,15,IF(B9=N9,20,IF(B9=N10,25,IF(B9=N11,29,IF(B9=N12,31,IF(B9=N13,32,0)))))))))))</f>
        <v>0</v>
      </c>
      <c r="D94" s="65">
        <f>IF(B9=N3,"8",IF(B9=N4,"10",IF(B9=N5,"3",IF(B9=N6,"6",IF(B9=N7,8,IF(B9=N8,11,IF(B9=N9,14,IF(B9=N10,18,IF(B9=N11,25,IF(B9=N12,26,IF(B9=N13,26,0)))))))))))</f>
        <v>0</v>
      </c>
      <c r="E94" s="65">
        <f>IF(B9=N3,"8",IF(B9=N4,"10",IF(B9=N5,"Max de répétitions et minimum 5",IF(B9=N6,"Max de répétitions et minimum 8",IF(B9=N7,"Max de répétitions et minimum 10",IF(B9=N8,"Max de répétitions et minimum 13",IF(B9=N9,"Max de répétitions et minimum 20",IF(B9=N10,"Max de répétitions et minimum 22",IF(B9=N11,"Max de répétitions et minimum 27",IF(B9=N12,"Max de répétitions et minimum 31",IF(B9=N13,"Max de répétitions et minimum 31",0)))))))))))</f>
        <v>0</v>
      </c>
      <c r="F94" s="68" t="s">
        <v>128</v>
      </c>
      <c r="G94" s="68" t="s">
        <v>128</v>
      </c>
      <c r="H94" s="67" t="str">
        <f>IF(OR(B9=N3,B9=N4),"Toutes les répétitions en excentrique","")</f>
        <v/>
      </c>
    </row>
    <row r="95" spans="1:8" x14ac:dyDescent="0.25">
      <c r="A95" s="246" t="s">
        <v>328</v>
      </c>
      <c r="B95" s="68">
        <f>IF(B10=N3,"5",IF(B10=N4,"7",IF(B10=N5,"3",IF(B10=N6,"6",IF(B10=N7,8,IF(B10=N8,11,IF(B10=N9,14,IF(B10=N10,18,IF(B10=N11,25,IF(B10=N12,26,IF(B10=N13,26,0)))))))))))</f>
        <v>0</v>
      </c>
      <c r="C95" s="68">
        <f>IF(B10=N3,"5",IF(B10=N4,"6",IF(B10=N5,"4",IF(B10=N6,"9",IF(B10=N7,11,IF(B10=N8,15,IF(B10=N9,20,IF(B10=N10,25,IF(B10=N11,29,IF(B10=N12,31,IF(B10=N13,32,0)))))))))))</f>
        <v>0</v>
      </c>
      <c r="D95" s="68">
        <f>IF(B10=N3,"4",IF(B10=N4,"5",IF(B10=N5,"3",IF(B10=N6,"6",IF(B10=N7,8,IF(B10=N8,11,IF(B10=N9,14,IF(B10=N10,18,IF(B10=N11,25,IF(B10=N12,26,IF(B10=N13,26,0)))))))))))</f>
        <v>0</v>
      </c>
      <c r="E95" s="68">
        <f>IF(B10=N3,"Max de répétitions",IF(B10=N4,"Max de répétitions",IF(B10=N5,"Max de répétitions et minimum 5",IF(B10=N6,"Max de répétitions et minimum 8",IF(B10=N7,"Max de répétitions et minimum 10",IF(B10=N8,"Max de répétitions et minimum 13",IF(B10=N9,"Max de répétitions et minimum 20",IF(B10=N10,"Max de répétitions et minimum 22",IF(B10=N11,"Max de répétitions et minimum 27",IF(B10=N12,"Max de répétitions et minimum 31",IF(B10=N13,"Max de répétitions et minimum 31",0)))))))))))</f>
        <v>0</v>
      </c>
      <c r="F95" s="68" t="s">
        <v>128</v>
      </c>
      <c r="G95" s="68" t="s">
        <v>128</v>
      </c>
      <c r="H95" s="69"/>
    </row>
    <row r="96" spans="1:8" x14ac:dyDescent="0.25">
      <c r="A96" s="246" t="s">
        <v>394</v>
      </c>
      <c r="B96" s="68">
        <f>IF(B11=N3,"5",IF(B11=N4,"7",IF(B11=N5,"3",IF(B11=N6,"6",IF(B11=N7,8,IF(B11=N8,11,IF(B11=N9,14,IF(B11=N10,18,IF(B11=N11,25,IF(B11=N12,26,IF(B11=N13,26,0)))))))))))</f>
        <v>0</v>
      </c>
      <c r="C96" s="68">
        <f>IF(B11=N3,"5",IF(B11=N4,"6",IF(B11=N5,"4",IF(B11=N6,"9",IF(B11=N7,11,IF(B11=N8,15,IF(B11=N9,20,IF(B11=N10,25,IF(B11=N11,29,IF(B11=N12,31,IF(B11=N13,32,0)))))))))))</f>
        <v>0</v>
      </c>
      <c r="D96" s="68">
        <f>IF(B11=N3,"Max de répétitions",IF(B11=N4,"Max de répétitions",IF(B11=N5,"Max de répétitions et minimum 5",IF(B11=N6,"Max de répétitions et minimum 8",IF(B11=N7,"Max de répétitions et minimum 10",IF(B11=N8,"Max de répétitions et minimum 13",IF(B11=N9,"Max de répétitions et minimum 20",IF(B11=N10,"Max de répétitions et minimum 22",IF(B11=N11,"Max de répétitions et minimum 27",IF(B11=N12,"Max de répétitions et minimum 31",IF(B11=N13,"Max de répétitions et minimum 31",0)))))))))))</f>
        <v>0</v>
      </c>
      <c r="E96" s="112"/>
      <c r="F96" s="68" t="s">
        <v>128</v>
      </c>
      <c r="G96" s="68" t="s">
        <v>128</v>
      </c>
      <c r="H96" s="69"/>
    </row>
    <row r="97" spans="1:8" ht="15.75" thickBot="1" x14ac:dyDescent="0.3">
      <c r="A97" s="242" t="s">
        <v>277</v>
      </c>
      <c r="B97" s="68">
        <f>IF(B12=N3,"5",IF(B12=N4,"7",IF(B12=N5,"3",IF(B12=N6,"6",IF(B12=N7,8,IF(B12=N8,11,IF(B12=N9,14,IF(B12=N10,18,IF(B12=N11,25,IF(B12=N12,26,IF(B12=N13,26,0)))))))))))</f>
        <v>0</v>
      </c>
      <c r="C97" s="68">
        <f>IF(B12=N3,"5",IF(B12=N4,"6",IF(B12=N5,"4",IF(B12=N6,"9",IF(B12=N7,11,IF(B12=N8,15,IF(B12=N9,20,IF(B12=N10,25,IF(B12=N11,29,IF(B12=N12,31,IF(B12=N13,32,0)))))))))))</f>
        <v>0</v>
      </c>
      <c r="D97" s="68">
        <f>IF(B12=N3,"Max de répétitions",IF(B12=N4,"Max de répétitions",IF(B12=N5,"Max de répétitions et minimum 5",IF(B12=N6,"Max de répétitions et minimum 8",IF(B12=N7,"Max de répétitions et minimum 10",IF(B12=N8,"Max de répétitions et minimum 13",IF(B12=N9,"Max de répétitions et minimum 20",IF(B12=N10,"Max de répétitions et minimum 22",IF(B12=N11,"Max de répétitions et minimum 27",IF(B12=N12,"Max de répétitions et minimum 31",IF(B12=N13,"Max de répétitions et minimum 31",0)))))))))))</f>
        <v>0</v>
      </c>
      <c r="E97" s="112"/>
      <c r="F97" s="68" t="s">
        <v>128</v>
      </c>
      <c r="G97" s="68" t="s">
        <v>128</v>
      </c>
      <c r="H97" s="70"/>
    </row>
    <row r="98" spans="1:8" x14ac:dyDescent="0.25">
      <c r="A98" s="72" t="s">
        <v>384</v>
      </c>
      <c r="B98" s="208" t="s">
        <v>324</v>
      </c>
      <c r="C98" s="209"/>
      <c r="D98" s="209"/>
      <c r="E98" s="209"/>
      <c r="H98" s="147" t="s">
        <v>325</v>
      </c>
    </row>
    <row r="99" spans="1:8" ht="15.75" thickBot="1" x14ac:dyDescent="0.3">
      <c r="A99" s="73" t="s">
        <v>2</v>
      </c>
      <c r="B99" s="74" t="s">
        <v>3</v>
      </c>
      <c r="C99" s="74" t="s">
        <v>4</v>
      </c>
      <c r="D99" s="74" t="s">
        <v>5</v>
      </c>
      <c r="E99" s="74" t="s">
        <v>6</v>
      </c>
      <c r="F99" s="74" t="s">
        <v>124</v>
      </c>
      <c r="G99" s="74" t="s">
        <v>125</v>
      </c>
      <c r="H99" s="74" t="s">
        <v>123</v>
      </c>
    </row>
    <row r="100" spans="1:8" x14ac:dyDescent="0.25">
      <c r="A100" s="251" t="s">
        <v>379</v>
      </c>
      <c r="B100" s="68">
        <f>IF(B15=M3,"4",IF(B15=M4,"8",IF(B15=M5,"11",IF(B15=M6,"16",IF(B15=M7,20,IF(B15=M8,13,IF(B15=M9,18,IF(B15=M10,20,IF(B15=M11,20,IF(B15=M12,22,IF(B15=M13,26,IF(B15=M14,28,0))))))))))))</f>
        <v>0</v>
      </c>
      <c r="C100" s="68">
        <f>IF(B15=M3,"5",IF(B15=M4,"10",IF(B15=M5,"13",IF(B15=M6,"21",IF(B15=M7,27,IF(B15=M8,13,IF(B15=M9,20,IF(B15=M10,24,IF(B15=M11,27,IF(B15=M12,30,IF(B15=M13,33,IF(B15=M14,35,0))))))))))))</f>
        <v>0</v>
      </c>
      <c r="D100" s="68">
        <f>IF(B15=M3,"4",IF(B15=M4,"7",IF(B15=M5,"9",IF(B15=M6,"15",IF(B15=M7,18,IF(B15=M8,15,IF(B15=M9,17,IF(B15=M10,20,IF(B15=M11,21,IF(B15=M12,22,IF(B15=M13,23,IF(B15=M14,25,0))))))))))))</f>
        <v>0</v>
      </c>
      <c r="E100" s="68">
        <f>IF(B15=M3,"Max de répétitions et minimum 5",IF(B15=M4,"Max de répétitions et minimum 10",IF(B15=M5,"Max de répétitions et minimum 13",IF(B15=M6,"Max de répétitions et minimum 21",IF(B15=M7,"Max de répétitions et minimum 25",IF(B15=M8,"Max de répétitions et minimum 30",IF(B15=M9,"Max de répétitions et minimum 35",IF(B15=M10,"Max de répétitions et minimum 40",IF(B15=M11,"Max de répétitions et minimum 44",IF(B15=M12,"Max de répétitions et minimum 55",IF(B15=M13,"Max de répétitions et minimum 60",IF(B15=M14,"Max de répétitions et minimum 60",0))))))))))))</f>
        <v>0</v>
      </c>
      <c r="F100" s="68" t="s">
        <v>128</v>
      </c>
      <c r="G100" s="68" t="s">
        <v>128</v>
      </c>
      <c r="H100" s="68"/>
    </row>
    <row r="101" spans="1:8" x14ac:dyDescent="0.25">
      <c r="A101" s="105" t="s">
        <v>148</v>
      </c>
      <c r="B101" s="68">
        <f>IF(B16=N3,"4",IF(B16=N4,"6",IF(B16=N5,"3",IF(B16=N6,"5",IF(B16=N7,7,IF(B16=N8,9,IF(B16=N9,13,IF(B16=N10,17,IF(B16=N11,23,IF(B16=N12,25,IF(B16=N13,25,0)))))))))))</f>
        <v>0</v>
      </c>
      <c r="C101" s="68">
        <f>IF(B16=N3,"9",IF(B16=N4,"10",IF(B16=N5,"4",IF(B16=N6,"7",IF(B16=N7,10,IF(B16=N8,13,IF(B16=N9,16,IF(B16=N10,21,IF(B16=N11,26,IF(B16=N12,29,IF(B16=N13,30,0)))))))))))</f>
        <v>0</v>
      </c>
      <c r="D101" s="68">
        <f>IF(B16=N3,"6",IF(B16=N4,"8",IF(B16=N5,"2",IF(B16=N6,"5",IF(B16=N7,6,IF(B16=N8,9,IF(B16=N9,12,IF(B16=N10,16,IF(B16=N11,23,IF(B16=N12,24,IF(B16=N13,25,0)))))))))))</f>
        <v>0</v>
      </c>
      <c r="E101" s="68">
        <f>IF(B16=N3,"6",IF(B16=N4,"8",IF(B16=N5,"Max de répétitions et minimum 4",IF(B16=N6,"Max de répétitions et minimum 6",IF(B16=N7,"Max de répétitions et minimum 9",IF(B16=N8,"Max de répétitions et minimum 12",IF(B16=N9,"Max de répétitions et minimum 16",IF(B16=N10,"Max de répétitions et minimum 20",IF(B16=N11,"Max de répétitions et minimum 25",IF(B16=N12,"Max de répétitions et minimum 29",IF(B16=N13,"Max de répétitions et minimum 29",0)))))))))))</f>
        <v>0</v>
      </c>
      <c r="F101" s="68" t="s">
        <v>128</v>
      </c>
      <c r="G101" s="68" t="s">
        <v>128</v>
      </c>
      <c r="H101" s="68" t="str">
        <f>IF(OR(B16=N3,B16=N4),"Toutes les répétitions en excentrique : voir vidéo","")</f>
        <v/>
      </c>
    </row>
    <row r="102" spans="1:8" x14ac:dyDescent="0.25">
      <c r="A102" s="252" t="s">
        <v>147</v>
      </c>
      <c r="B102" s="68">
        <f>IF(B17=M3,"4",IF(B17=M4,"8",IF(B17=M5,"11",IF(B17=M6,"16",IF(B17=M7,20,IF(B17=M8,13,IF(B17=M9,18,IF(B17=M10,20,IF(B17=M11,20,IF(B17=M12,22,IF(B17=M13,26,IF(B17=M14,28,0))))))))))))</f>
        <v>0</v>
      </c>
      <c r="C102" s="68">
        <f>IF(B17=M3,"5",IF(B17=M4,"10",IF(B17=M5,"13",IF(B17=M6,"21",IF(B17=M7,27,IF(B17=M8,13,IF(B17=M9,20,IF(B17=M10,24,IF(B17=M11,27,IF(B17=M12,30,IF(B17=M13,33,IF(B17=M14,35,0))))))))))))</f>
        <v>0</v>
      </c>
      <c r="D102" s="68">
        <f>IF(B17=M3,"4",IF(B17=M4,"7",IF(B17=M5,"9",IF(B17=M6,"15",IF(B17=M7,18,IF(B17=M8,15,IF(B17=M9,17,IF(B17=M10,20,IF(B17=M11,21,IF(B17=M12,22,IF(B17=M13,23,IF(B17=M14,25,0))))))))))))</f>
        <v>0</v>
      </c>
      <c r="E102" s="68">
        <f>IF(B17=M3,"Max de répétitions et minimum 5",IF(B17=M4,"Max de répétitions et minimum 10",IF(B17=M5,"Max de répétitions et minimum 13",IF(B17=M6,"Max de répétitions et minimum 21",IF(B17=M7,"Max de répétitions et minimum 25",IF(B17=M8,"Max de répétitions et minimum 30",IF(B17=M9,"Max de répétitions et minimum 35",IF(B17=M10,"Max de répétitions et minimum 40",IF(B17=M11,"Max de répétitions et minimum 44",IF(B17=M12,"Max de répétitions et minimum 55",IF(B17=M13,"Max de répétitions et minimum 60",IF(B17=M14,"Max de répétitions et minimum 60",0))))))))))))</f>
        <v>0</v>
      </c>
      <c r="F102" s="68" t="s">
        <v>128</v>
      </c>
      <c r="G102" s="68" t="s">
        <v>128</v>
      </c>
      <c r="H102" s="68"/>
    </row>
    <row r="103" spans="1:8" x14ac:dyDescent="0.25">
      <c r="A103" s="253" t="s">
        <v>327</v>
      </c>
      <c r="B103" s="68">
        <f>IF(B18=N3,"4",IF(B18=N4,"6",IF(B18=N5,"3",IF(B18=N6,"5",IF(B18=N7,7,IF(B18=N8,9,IF(B18=N9,13,IF(B18=N10,17,IF(B18=N11,23,IF(B18=N12,25,IF(B18=N13,25,0)))))))))))</f>
        <v>0</v>
      </c>
      <c r="C103" s="68">
        <f>IF(B18=N3,"4",IF(B18=N4,"5",IF(B18=N5,"4",IF(B18=N6,"7",IF(B18=N7,10,IF(B18=N8,13,IF(B18=N9,16,IF(B18=N10,21,IF(B18=N11,26,IF(B18=N12,29,IF(B18=N13,30,0)))))))))))</f>
        <v>0</v>
      </c>
      <c r="D103" s="68">
        <f>IF(B18=N3,"Max de répétitions",IF(B18=N4,"Max de répétitions",IF(B18=N5,"Max de répétitions et minimum 4",IF(B18=N6,"Max de répétitions et minimum 6",IF(B18=N7,"Max de répétitions et minimum 9",IF(B18=N8,"Max de répétitions et minimum 12",IF(B18=N9,"Max de répétitions et minimum 16",IF(B18=N10,"Max de répétitions et minimum 20",IF(B18=N11,"Max de répétitions et minimum 25",IF(B18=N12,"Max de répétitions et minimum 29",IF(B18=N13,"Max de répétitions et minimum 29",0)))))))))))</f>
        <v>0</v>
      </c>
      <c r="E103" s="112"/>
      <c r="F103" s="68" t="s">
        <v>131</v>
      </c>
      <c r="G103" s="68" t="s">
        <v>131</v>
      </c>
      <c r="H103" s="68"/>
    </row>
    <row r="104" spans="1:8" x14ac:dyDescent="0.25">
      <c r="A104" s="105" t="s">
        <v>164</v>
      </c>
      <c r="B104" s="68">
        <f>IF(B19=N3,"4",IF(B19=N4,"6",IF(B19=N5,"3",IF(B19=N6,"5",IF(B19=N7,7,IF(B19=N8,9,IF(B19=N9,13,IF(B19=N10,17,IF(B19=N11,23,IF(B19=N12,25,IF(B19=N13,25,0)))))))))))</f>
        <v>0</v>
      </c>
      <c r="C104" s="68">
        <f>IF(B19=N3,"4",IF(B19=N4,"5",IF(B19=N5,"4",IF(B19=N6,"7",IF(B19=N7,10,IF(B19=N8,13,IF(B19=N9,16,IF(B19=N10,21,IF(B19=N11,26,IF(B19=N12,29,IF(B19=N13,30,0)))))))))))</f>
        <v>0</v>
      </c>
      <c r="D104" s="68">
        <f>IF(B19=N3,"Max de répétitions",IF(B19=N4,"Max de répétitions",IF(B19=N5,"Max de répétitions et minimum 4",IF(B19=N6,"Max de répétitions et minimum 6",IF(B19=N7,"Max de répétitions et minimum 9",IF(B19=N8,"Max de répétitions et minimum 12",IF(B19=N9,"Max de répétitions et minimum 16",IF(B19=N10,"Max de répétitions et minimum 20",IF(B19=N11,"Max de répétitions et minimum 25",IF(B19=N12,"Max de répétitions et minimum 29",IF(B19=N13,"Max de répétitions et minimum 29",0)))))))))))</f>
        <v>0</v>
      </c>
      <c r="E104" s="112"/>
      <c r="F104" s="68" t="s">
        <v>131</v>
      </c>
      <c r="G104" s="68" t="s">
        <v>131</v>
      </c>
      <c r="H104" s="68"/>
    </row>
    <row r="105" spans="1:8" x14ac:dyDescent="0.25">
      <c r="A105" s="214" t="s">
        <v>152</v>
      </c>
      <c r="B105" s="215"/>
      <c r="C105" s="215"/>
      <c r="D105" s="215"/>
      <c r="E105" s="215"/>
      <c r="F105" s="215"/>
      <c r="G105" s="215"/>
      <c r="H105" s="215"/>
    </row>
    <row r="106" spans="1:8" ht="15.75" thickBot="1" x14ac:dyDescent="0.3">
      <c r="A106" s="88" t="s">
        <v>385</v>
      </c>
      <c r="B106" s="219" t="s">
        <v>324</v>
      </c>
      <c r="C106" s="220"/>
      <c r="D106" s="220"/>
      <c r="E106" s="220"/>
      <c r="H106" s="147" t="s">
        <v>325</v>
      </c>
    </row>
    <row r="107" spans="1:8" x14ac:dyDescent="0.25">
      <c r="A107" s="60" t="s">
        <v>2</v>
      </c>
      <c r="B107" s="74" t="s">
        <v>3</v>
      </c>
      <c r="C107" s="74" t="s">
        <v>4</v>
      </c>
      <c r="D107" s="74" t="s">
        <v>5</v>
      </c>
      <c r="E107" s="74" t="s">
        <v>6</v>
      </c>
      <c r="F107" s="74" t="s">
        <v>124</v>
      </c>
      <c r="G107" s="74" t="s">
        <v>125</v>
      </c>
      <c r="H107" s="74" t="s">
        <v>123</v>
      </c>
    </row>
    <row r="108" spans="1:8" x14ac:dyDescent="0.25">
      <c r="A108" s="79" t="s">
        <v>302</v>
      </c>
      <c r="B108" s="65">
        <f>IF(B22=O3,"8",IF(B22=O4,"12",IF(B22=O5,"18",IF(B22=O6,"22",IF(B22=O7,28,IF(B22=O8,34,IF(B22=O9,40,IF(B22=O10,46,IF(B22=O11,52,IF(B22=O12,58,IF(B22=O13,50,IF(B22=O14,54,IF(B22=O15,60,IF(B22=O16,64,0))))))))))))))</f>
        <v>0</v>
      </c>
      <c r="C108" s="65">
        <f>IF(B22=O3,"6",IF(B22=O4,"10",IF(B22=O5,"18",IF(B22=O6,"24",IF(B22=O7,26,IF(B22=O8,32,IF(B22=O9,38,IF(B22=O10,46,IF(B22=O11,52,IF(B22=O12,54,IF(B22=O13,50,IF(B22=O14,52,IF(B22=O15,60,IF(B22=O16,64,0))))))))))))))</f>
        <v>0</v>
      </c>
      <c r="D108" s="65">
        <f>IF(B22=O3,"7",IF(B22=O4,"11",IF(B22=O5,"16",IF(B22=O6,"22",IF(B22=O7,26,IF(B22=O8,33,IF(B22=O9,39,IF(B22=O10,45,IF(B22=O11,50,IF(B22=O12,54,IF(B22=O13,42,IF(B22=O14,53,IF(B22=O15,55,IF(B22=O16,64,0))))))))))))))</f>
        <v>0</v>
      </c>
      <c r="E108" s="65">
        <f>IF(B22=O3,"Max de répétitions et minimum 8",IF(B22=O4,"Max de répétitions et minimum 12",IF(B22=O5,"Max de répétitions et minimum 18",IF(B22=O6,"Max de répétitions et minimum 24",IF(B22=O7,"Max de répétitions et minimum 30",IF(B22=O8,"Max de répétitions et minimum 36",IF(B22=O9,"Max de répétitions et minimum 42",IF(B22=O10,"Max de répétitions et minimum 46",IF(B22=O11,"Max de répétitions et minimum 52",IF(B22=O12,"Max de répétitions et minimum 60",IF(B22=O13,"Max de répétitions et minimum 50",IF(B22=O14,"Max de répétitions et minimum 56",IF(B22=O15,"Max de répétitions et minimum 62",IF(B22=O16,"Max de répétitions et minimum 64",0))))))))))))))</f>
        <v>0</v>
      </c>
      <c r="F108" s="68" t="s">
        <v>128</v>
      </c>
      <c r="G108" s="68" t="s">
        <v>127</v>
      </c>
      <c r="H108" s="67" t="s">
        <v>387</v>
      </c>
    </row>
    <row r="109" spans="1:8" x14ac:dyDescent="0.25">
      <c r="A109" s="79" t="s">
        <v>166</v>
      </c>
      <c r="B109" s="68">
        <f>IF(B23=N3,"4",IF(B23=N4,"6",IF(B23=N5,"3",IF(B23=N6,"5",IF(B23=N7,7,IF(B23=N8,9,IF(B23=N9,13,IF(B23=N10,17,IF(B23=N11,23,IF(B23=N12,25,IF(B23=N13,25,0)))))))))))</f>
        <v>0</v>
      </c>
      <c r="C109" s="68">
        <f>IF(B23=N3,"4",IF(B23=N4,"5",IF(B23=N5,"4",IF(B23=N6,"7",IF(B23=N7,10,IF(B23=N8,13,IF(B23=N9,16,IF(B23=N10,21,IF(B23=N11,26,IF(B23=N12,29,IF(B23=N13,30,0)))))))))))</f>
        <v>0</v>
      </c>
      <c r="D109" s="68">
        <f>IF(B23=N3,"3",IF(B23=N4,"4",IF(B23=N5,"2",IF(B23=N6,"5",IF(B23=N7,6,IF(B23=N8,9,IF(B23=N9,12,IF(B23=N10,16,IF(B23=N11,23,IF(B23=N12,24,IF(B23=N13,25,0)))))))))))</f>
        <v>0</v>
      </c>
      <c r="E109" s="68">
        <f>IF(B23=N3,"Max de répétitions",IF(B23=N4,"Max de répétitions",IF(B23=N5,"Max de répétitions et minimum 4",IF(B23=N6,"Max de répétitions et minimum 6",IF(B23=N7,"Max de répétitions et minimum 9",IF(B23=N8,"Max de répétitions et minimum 12",IF(B23=N9,"Max de répétitions et minimum 16",IF(B23=N10,"Max de répétitions et minimum 20",IF(B23=N11,"Max de répétitions et minimum 25",IF(B23=N12,"Max de répétitions et minimum 29",IF(B23=N13,"Max de répétitions et minimum 29",0)))))))))))</f>
        <v>0</v>
      </c>
      <c r="F109" s="68" t="s">
        <v>130</v>
      </c>
      <c r="G109" s="68" t="s">
        <v>128</v>
      </c>
      <c r="H109" s="69"/>
    </row>
    <row r="110" spans="1:8" x14ac:dyDescent="0.25">
      <c r="A110" s="79" t="s">
        <v>174</v>
      </c>
      <c r="B110" s="68">
        <f>IF(B24=N3,"4",IF(B24=N4,"6",IF(B24=N5,"3",IF(B24=N6,"5",IF(B24=N7,7,IF(B24=N8,9,IF(B24=N9,13,IF(B24=N10,17,IF(B24=N11,23,IF(B24=N12,25,IF(B24=N13,25,0)))))))))))</f>
        <v>0</v>
      </c>
      <c r="C110" s="68">
        <f>IF(B24=N3,"4",IF(B24=N4,"5",IF(B24=N5,"4",IF(B24=N6,"7",IF(B24=N7,10,IF(B24=N8,13,IF(B24=N9,16,IF(B24=N10,21,IF(B24=N11,26,IF(B24=N12,29,IF(B24=N13,30,0)))))))))))</f>
        <v>0</v>
      </c>
      <c r="D110" s="68">
        <f>IF(B24=N3,"3",IF(B24=N4,"4",IF(B24=N5,"2",IF(B24=N6,"5",IF(B24=N7,6,IF(B24=N8,9,IF(B24=N9,12,IF(B24=N10,16,IF(B24=N11,23,IF(B24=N12,24,IF(B24=N13,25,0)))))))))))</f>
        <v>0</v>
      </c>
      <c r="E110" s="68">
        <f>IF(B24=N3,"Max de répétitions",IF(B24=N4,"Max de répétitions",IF(B24=N5,"Max de répétitions et minimum 4",IF(B24=N6,"Max de répétitions et minimum 6",IF(B24=N7,"Max de répétitions et minimum 9",IF(B24=N8,"Max de répétitions et minimum 12",IF(B24=N9,"Max de répétitions et minimum 16",IF(B24=N10,"Max de répétitions et minimum 20",IF(B24=N11,"Max de répétitions et minimum 25",IF(B24=N12,"Max de répétitions et minimum 29",IF(B24=N13,"Max de répétitions et minimum 29",0)))))))))))</f>
        <v>0</v>
      </c>
      <c r="F110" s="68" t="s">
        <v>130</v>
      </c>
      <c r="G110" s="68" t="s">
        <v>128</v>
      </c>
      <c r="H110" s="69"/>
    </row>
    <row r="111" spans="1:8" x14ac:dyDescent="0.25">
      <c r="A111" s="79" t="s">
        <v>171</v>
      </c>
      <c r="B111" s="68">
        <f>IF(B25=M3,"4",IF(B25=M4,"8",IF(B25=M5,"11",IF(B25=M6,"16",IF(B25=M7,20,IF(B25=M8,13,IF(B25=M9,18,IF(B25=M10,20,IF(B25=M11,20,IF(B25=M12,22,IF(B25=M13,26,IF(B25=M14,28,0))))))))))))</f>
        <v>0</v>
      </c>
      <c r="C111" s="68">
        <f>IF(B25=M3,"5",IF(B25=M4,"10",IF(B25=M5,"13",IF(B25=M6,"21",IF(B25=M7,27,IF(B25=M8,13,IF(B25=M9,20,IF(B25=M10,24,IF(B25=M11,27,IF(B25=M12,30,IF(B25=M13,33,IF(B25=M14,35,0))))))))))))</f>
        <v>0</v>
      </c>
      <c r="D111" s="68">
        <f>IF(B25=M3,"Max de répétitions et minimum 5",IF(B25=M4,"Max de répétitions et minimum 10",IF(B25=M5,"Max de répétitions et minimum 13",IF(B25=M6,"Max de répétitions et minimum 21",IF(B25=M7,"Max de répétitions et minimum 25",IF(B25=M8,"Max de répétitions et minimum 30",IF(B25=M9,"Max de répétitions et minimum 35",IF(B25=M10,"Max de répétitions et minimum 40",IF(B25=M11,"Max de répétitions et minimum 44",IF(B25=M12,"Max de répétitions et minimum 55",IF(B25=M13,"Max de répétitions et minimum 60",IF(B25=M14,"Max de répétitions et minimum 60",0))))))))))))</f>
        <v>0</v>
      </c>
      <c r="E111" s="112"/>
      <c r="F111" s="68" t="s">
        <v>173</v>
      </c>
      <c r="G111" s="68" t="s">
        <v>131</v>
      </c>
      <c r="H111" s="70"/>
    </row>
    <row r="112" spans="1:8" ht="15.75" thickBot="1" x14ac:dyDescent="0.3">
      <c r="A112" s="79" t="s">
        <v>161</v>
      </c>
      <c r="B112" s="68">
        <f>IF(B26=N3,"4",IF(B26=N4,"6",IF(B26=N5,"3",IF(B26=N6,"5",IF(B26=N7,7,IF(B26=N8,9,IF(B26=N9,13,IF(B26=N10,17,IF(B26=N11,23,IF(B26=N12,25,IF(B26=N13,25,0)))))))))))</f>
        <v>0</v>
      </c>
      <c r="C112" s="68">
        <f>IF(B26=N3,"4",IF(B26=N4,"5",IF(B26=N5,"4",IF(B26=N6,"7",IF(B26=N7,10,IF(B26=N8,13,IF(B26=N9,16,IF(B26=N10,21,IF(B26=N11,26,IF(B26=N12,29,IF(B26=N13,30,0)))))))))))</f>
        <v>0</v>
      </c>
      <c r="D112" s="68">
        <f>IF(B26=N3,"Max de répétitions",IF(B26=N4,"Max de répétitions",IF(B26=N5,"Max de répétitions et minimum 4",IF(B26=N6,"Max de répétitions et minimum 6",IF(B26=N7,"Max de répétitions et minimum 9",IF(B26=N8,"Max de répétitions et minimum 12",IF(B26=N9,"Max de répétitions et minimum 16",IF(B26=N10,"Max de répétitions et minimum 20",IF(B26=N11,"Max de répétitions et minimum 25",IF(B26=N12,"Max de répétitions et minimum 29",IF(B26=N13,"Max de répétitions et minimum 29",0)))))))))))</f>
        <v>0</v>
      </c>
      <c r="E112" s="112"/>
      <c r="F112" s="68" t="s">
        <v>131</v>
      </c>
      <c r="G112" s="112"/>
      <c r="H112" s="70"/>
    </row>
    <row r="113" spans="1:8" x14ac:dyDescent="0.25">
      <c r="A113" s="72" t="s">
        <v>395</v>
      </c>
      <c r="B113" s="208"/>
      <c r="C113" s="209"/>
      <c r="D113" s="209"/>
      <c r="E113" s="209"/>
      <c r="H113" s="147" t="s">
        <v>325</v>
      </c>
    </row>
    <row r="114" spans="1:8" x14ac:dyDescent="0.25">
      <c r="A114" s="73" t="s">
        <v>2</v>
      </c>
      <c r="B114" s="74" t="s">
        <v>3</v>
      </c>
      <c r="C114" s="74" t="s">
        <v>4</v>
      </c>
      <c r="D114" s="74" t="s">
        <v>5</v>
      </c>
      <c r="E114" s="74" t="s">
        <v>6</v>
      </c>
      <c r="F114" s="74" t="s">
        <v>124</v>
      </c>
      <c r="G114" s="74" t="s">
        <v>125</v>
      </c>
      <c r="H114" s="74" t="s">
        <v>123</v>
      </c>
    </row>
    <row r="115" spans="1:8" x14ac:dyDescent="0.25">
      <c r="A115" s="246" t="s">
        <v>155</v>
      </c>
      <c r="B115" s="65">
        <f>IF(B9=N3,"6",IF(B9=N4,"8",IF(B9=N5,"4",IF(B9=N6,"6",IF(B9=N7,9,IF(B9=N8,12,IF(B9=N9,15,IF(B9=N10,19,IF(B9=N11,25,IF(B9=N12,26,IF(B9=N13,27,0)))))))))))</f>
        <v>0</v>
      </c>
      <c r="C115" s="65">
        <f>IF(B9=N3,"10",IF(B9=N4,"14",IF(B9=N5,"5",IF(B9=N6,"9",IF(B9=N7,11,IF(B9=N8,15,IF(B9=N9,20,IF(B9=N10,25,IF(B9=N11,29,IF(B9=N12,31,IF(B9=N13,32,0)))))))))))</f>
        <v>0</v>
      </c>
      <c r="D115" s="65">
        <f>IF(B9=N3,"8",IF(B9=N4,"11",IF(B9=N5,"4",IF(B9=N6,"6",IF(B9=N7,9,IF(B9=N8,11,IF(B9=N9,14,IF(B9=N10,18,IF(B9=N11,25,IF(B9=N12,26,IF(B9=N13,26,0)))))))))))</f>
        <v>0</v>
      </c>
      <c r="E115" s="65">
        <f>IF(B9=N3,"9",IF(B9=N4,"11",IF(B9=N5,"Max de répétitions et minimum 6",IF(B9=N6,"Max de répétitions et minimum 10",IF(B9=N7,"Max de répétitions et minimum 11",IF(B9=N8,"Max de répétitions et minimum 13",IF(B9=N9,"Max de répétitions et minimum 24",IF(B9=N10,"Max de répétitions et minimum 24",IF(B9=N11,"Max de répétitions et minimum 28",IF(B9=N12,"Max de répétitions et minimum 31",IF(B9=N13,"Max de répétitions et minimum 32",0)))))))))))</f>
        <v>0</v>
      </c>
      <c r="F115" s="68" t="s">
        <v>128</v>
      </c>
      <c r="G115" s="68" t="s">
        <v>128</v>
      </c>
      <c r="H115" s="67" t="str">
        <f>IF(OR(B9=N3,B9=N4),"Toutes les répétitions en excentrique","")</f>
        <v/>
      </c>
    </row>
    <row r="116" spans="1:8" x14ac:dyDescent="0.25">
      <c r="A116" s="246" t="s">
        <v>328</v>
      </c>
      <c r="B116" s="68">
        <f>IF(B10=N3,"6",IF(B10=N4,"8",IF(B10=N5,"4",IF(B10=N6,"6",IF(B10=N7,9,IF(B10=N8,12,IF(B10=N9,15,IF(B10=N10,19,IF(B10=N11,25,IF(B10=N12,26,IF(B10=N13,27,0)))))))))))</f>
        <v>0</v>
      </c>
      <c r="C116" s="68">
        <f>IF(B10=N3,"5",IF(B10=N4,"7",IF(B10=N5,"5",IF(B10=N6,"9",IF(B10=N7,11,IF(B10=N8,15,IF(B10=N9,20,IF(B10=N10,25,IF(B10=N11,29,IF(B10=N12,31,IF(B10=N13,32,0)))))))))))</f>
        <v>0</v>
      </c>
      <c r="D116" s="68">
        <f>IF(B10=N3,"5",IF(B10=N4,"6",IF(B10=N5,"4",IF(B10=N6,"6",IF(B10=N7,9,IF(B10=N8,11,IF(B10=N9,14,IF(B10=N10,18,IF(B10=N11,25,IF(B10=N12,26,IF(B10=N13,26,0)))))))))))</f>
        <v>0</v>
      </c>
      <c r="E116" s="68">
        <f>IF(B10=N3,"Max de répétitions",IF(B10=N4,"Max de répétitions",IF(B10=N5,"Max de répétitions et minimum 6",IF(B10=N6,"Max de répétitions et minimum 10",IF(B10=N7,"Max de répétitions et minimum 11",IF(B10=N8,"Max de répétitions et minimum 13",IF(B10=N9,"Max de répétitions et minimum 24",IF(B10=N10,"Max de répétitions et minimum 24",IF(B10=N11,"Max de répétitions et minimum 28",IF(B10=N12,"Max de répétitions et minimum 31",IF(B10=N13,"Max de répétitions et minimum 32",0)))))))))))</f>
        <v>0</v>
      </c>
      <c r="F116" s="68" t="s">
        <v>128</v>
      </c>
      <c r="G116" s="68" t="s">
        <v>128</v>
      </c>
      <c r="H116" s="69"/>
    </row>
    <row r="117" spans="1:8" x14ac:dyDescent="0.25">
      <c r="A117" s="246" t="s">
        <v>394</v>
      </c>
      <c r="B117" s="68">
        <f>IF(B11=N3,"6",IF(B11=N4,"8",IF(B11=N5,"4",IF(B11=N6,"6",IF(B11=N7,9,IF(B11=N8,12,IF(B11=N9,15,IF(B11=N10,19,IF(B11=N11,25,IF(B11=N12,26,IF(B11=N13,27,0)))))))))))</f>
        <v>0</v>
      </c>
      <c r="C117" s="68">
        <f>IF(B11=N3,"5",IF(B11=N4,"7",IF(B11=N5,"5",IF(B11=N6,"9",IF(B11=N7,11,IF(B11=N8,15,IF(B11=N9,20,IF(B11=N10,25,IF(B11=N11,29,IF(B11=N12,31,IF(B11=N13,32,0)))))))))))</f>
        <v>0</v>
      </c>
      <c r="D117" s="68">
        <f>IF(B11=N3,"Max de répétitions",IF(B11=N4,"Max de répétitions",IF(B11=N5,"Max de répétitions et minimum 6",IF(B11=N6,"Max de répétitions et minimum 10",IF(B11=N7,"Max de répétitions et minimum 11",IF(B11=N8,"Max de répétitions et minimum 13",IF(B11=N9,"Max de répétitions et minimum 24",IF(B11=N10,"Max de répétitions et minimum 24",IF(B11=N11,"Max de répétitions et minimum 28",IF(B11=N12,"Max de répétitions et minimum 31",IF(B11=N13,"Max de répétitions et minimum 32",0)))))))))))</f>
        <v>0</v>
      </c>
      <c r="E117" s="112"/>
      <c r="F117" s="68" t="s">
        <v>128</v>
      </c>
      <c r="G117" s="68" t="s">
        <v>128</v>
      </c>
      <c r="H117" s="69"/>
    </row>
    <row r="118" spans="1:8" ht="15.75" thickBot="1" x14ac:dyDescent="0.3">
      <c r="A118" s="242" t="s">
        <v>277</v>
      </c>
      <c r="B118" s="68">
        <f>IF(B12=N3,"6",IF(B12=N4,"8",IF(B12=N5,"4",IF(B12=N6,"6",IF(B12=N7,9,IF(B12=N8,12,IF(B12=N9,15,IF(B12=N10,19,IF(B12=N11,25,IF(B12=N12,26,IF(B12=N13,27,0)))))))))))</f>
        <v>0</v>
      </c>
      <c r="C118" s="68">
        <f>IF(B12=N3,"5",IF(B12=N4,"7",IF(B12=N5,"5",IF(B12=N6,"9",IF(B12=N7,11,IF(B12=N8,15,IF(B12=N9,20,IF(B12=N10,25,IF(B12=N11,29,IF(B12=N12,31,IF(B12=N13,32,0)))))))))))</f>
        <v>0</v>
      </c>
      <c r="D118" s="68">
        <f>IF(B12=N3,"Max de répétitions",IF(B12=N4,"Max de répétitions",IF(B12=N5,"Max de répétitions et minimum 6",IF(B12=N6,"Max de répétitions et minimum 10",IF(B12=N7,"Max de répétitions et minimum 11",IF(B12=N8,"Max de répétitions et minimum 13",IF(B12=N9,"Max de répétitions et minimum 24",IF(B12=N10,"Max de répétitions et minimum 24",IF(B12=N11,"Max de répétitions et minimum 28",IF(B12=N12,"Max de répétitions et minimum 31",IF(B12=N13,"Max de répétitions et minimum 32",0)))))))))))</f>
        <v>0</v>
      </c>
      <c r="E118" s="112"/>
      <c r="F118" s="68" t="s">
        <v>128</v>
      </c>
      <c r="G118" s="68" t="s">
        <v>128</v>
      </c>
      <c r="H118" s="70"/>
    </row>
    <row r="119" spans="1:8" x14ac:dyDescent="0.25">
      <c r="A119" s="214" t="s">
        <v>139</v>
      </c>
      <c r="B119" s="215"/>
      <c r="C119" s="215"/>
      <c r="D119" s="215"/>
      <c r="E119" s="215"/>
      <c r="F119" s="215"/>
      <c r="G119" s="215"/>
      <c r="H119" s="215"/>
    </row>
    <row r="120" spans="1:8" x14ac:dyDescent="0.25">
      <c r="A120" s="214" t="s">
        <v>140</v>
      </c>
      <c r="B120" s="215"/>
      <c r="C120" s="215"/>
      <c r="D120" s="215"/>
      <c r="E120" s="215"/>
      <c r="F120" s="215"/>
      <c r="G120" s="215"/>
      <c r="H120" s="215"/>
    </row>
    <row r="121" spans="1:8" x14ac:dyDescent="0.25">
      <c r="A121" s="212" t="s">
        <v>390</v>
      </c>
      <c r="B121" s="212"/>
      <c r="C121" s="212"/>
      <c r="D121" s="212"/>
      <c r="E121" s="212"/>
      <c r="F121" s="212"/>
      <c r="G121" s="212"/>
      <c r="H121" s="212"/>
    </row>
    <row r="122" spans="1:8" x14ac:dyDescent="0.25">
      <c r="A122" s="212" t="s">
        <v>388</v>
      </c>
      <c r="B122" s="212"/>
      <c r="C122" s="212"/>
      <c r="D122" s="212"/>
      <c r="E122" s="212"/>
      <c r="F122" s="212"/>
      <c r="G122" s="212"/>
      <c r="H122" s="212"/>
    </row>
    <row r="123" spans="1:8" x14ac:dyDescent="0.25">
      <c r="A123" s="212" t="s">
        <v>389</v>
      </c>
      <c r="B123" s="212"/>
      <c r="C123" s="212"/>
      <c r="D123" s="212"/>
      <c r="E123" s="212"/>
      <c r="F123" s="212"/>
      <c r="G123" s="212"/>
      <c r="H123" s="212"/>
    </row>
    <row r="124" spans="1:8" x14ac:dyDescent="0.25">
      <c r="A124" s="212" t="s">
        <v>175</v>
      </c>
      <c r="B124" s="212"/>
      <c r="C124" s="212"/>
      <c r="D124" s="212"/>
      <c r="E124" s="212"/>
      <c r="F124" s="212"/>
      <c r="G124" s="212"/>
      <c r="H124" s="212"/>
    </row>
  </sheetData>
  <sheetProtection algorithmName="SHA-512" hashValue="spI9SA85/qi7TUFr5BusieXh8vbjSWAoGWmeeDHM7AscmJus+W838OHV+QA5XjOoJMlmkPiWYV7QhUhgyGAZdg==" saltValue="N3SnwUKtsIRW9q/GP1ZiuQ==" spinCount="100000" sheet="1" objects="1" scenarios="1"/>
  <mergeCells count="34">
    <mergeCell ref="A119:H119"/>
    <mergeCell ref="A120:H120"/>
    <mergeCell ref="A121:H121"/>
    <mergeCell ref="A122:H122"/>
    <mergeCell ref="A123:H123"/>
    <mergeCell ref="A124:H124"/>
    <mergeCell ref="B92:E92"/>
    <mergeCell ref="B98:E98"/>
    <mergeCell ref="A105:H105"/>
    <mergeCell ref="B106:E106"/>
    <mergeCell ref="B113:E113"/>
    <mergeCell ref="A74:H74"/>
    <mergeCell ref="B75:E75"/>
    <mergeCell ref="B82:E82"/>
    <mergeCell ref="A88:H88"/>
    <mergeCell ref="A89:H89"/>
    <mergeCell ref="A91:H91"/>
    <mergeCell ref="B51:E51"/>
    <mergeCell ref="A57:H57"/>
    <mergeCell ref="A58:H58"/>
    <mergeCell ref="A60:H60"/>
    <mergeCell ref="B61:E61"/>
    <mergeCell ref="B67:E67"/>
    <mergeCell ref="A21:B21"/>
    <mergeCell ref="A29:H29"/>
    <mergeCell ref="B30:E30"/>
    <mergeCell ref="B36:E36"/>
    <mergeCell ref="A43:H43"/>
    <mergeCell ref="B44:E44"/>
    <mergeCell ref="A8:B8"/>
    <mergeCell ref="A2:I2"/>
    <mergeCell ref="A3:I3"/>
    <mergeCell ref="A4:I4"/>
    <mergeCell ref="A14:B14"/>
  </mergeCells>
  <dataValidations count="3">
    <dataValidation type="list" allowBlank="1" showInputMessage="1" showErrorMessage="1" sqref="B9:B12 B16 B18:B19 B23:B24 B26" xr:uid="{B4CC3CB4-D7F8-43C9-B3EE-211991AE8D41}">
      <formula1>$N$2:$N$13</formula1>
    </dataValidation>
    <dataValidation type="list" allowBlank="1" showInputMessage="1" showErrorMessage="1" sqref="B15 B17 B25" xr:uid="{E65CAEEB-7C6E-462D-BAA3-577A71419FDD}">
      <formula1>$M$2:$M$14</formula1>
    </dataValidation>
    <dataValidation type="list" allowBlank="1" showInputMessage="1" showErrorMessage="1" sqref="B22" xr:uid="{B33C5D42-9D86-404D-9B3E-B0DC659517B2}">
      <formula1>$O$2:$O$16</formula1>
    </dataValidation>
  </dataValidations>
  <hyperlinks>
    <hyperlink ref="A9" r:id="rId1" xr:uid="{B7D3DACB-EA29-48C3-9C65-60BC044D82CF}"/>
    <hyperlink ref="A10" r:id="rId2" display="Tractions australienne" xr:uid="{E95C89A1-A842-47EA-ADF7-F72F941032A9}"/>
    <hyperlink ref="A11" r:id="rId3" xr:uid="{57F63BC1-E9F0-469F-8A85-80C3071821B4}"/>
    <hyperlink ref="A12" r:id="rId4" xr:uid="{6D8505A8-8682-4751-A44F-819671FBAA90}"/>
    <hyperlink ref="A15" r:id="rId5" display="Pompes déclinées" xr:uid="{03442EAD-A7FB-4707-9B63-0E825E25A115}"/>
    <hyperlink ref="A16" r:id="rId6" xr:uid="{688A2712-3B8E-4B98-A73C-0F977F731A46}"/>
    <hyperlink ref="A17" r:id="rId7" xr:uid="{7B283257-568F-4BA7-B530-404B71DB808C}"/>
    <hyperlink ref="A18" r:id="rId8" display="Relevé de jambes suspendu ou au sol" xr:uid="{FDCEBC2D-D38A-49F3-8C2B-1469EAB17E6E}"/>
    <hyperlink ref="A19" r:id="rId9" xr:uid="{01B87FF7-4BE5-4797-A2A5-D9B8189BEBC9}"/>
    <hyperlink ref="A23" r:id="rId10" xr:uid="{B8E2DBEB-92F3-40D2-8E2C-C4D733396BBE}"/>
    <hyperlink ref="A24" r:id="rId11" xr:uid="{EE5DE0A6-BA97-49A1-8679-474F1EFCCA9A}"/>
    <hyperlink ref="A25" r:id="rId12" xr:uid="{BD3D49DD-3083-4C72-92FB-D141CD98150B}"/>
    <hyperlink ref="A22" r:id="rId13" xr:uid="{05959587-9710-474C-AE52-841A52ADD9B7}"/>
    <hyperlink ref="A26" r:id="rId14" xr:uid="{3A9033BD-00C2-4B82-9063-42784BDB486F}"/>
    <hyperlink ref="B30" r:id="rId15" xr:uid="{9804E4C8-9590-4500-B7F4-523EDC508C4C}"/>
    <hyperlink ref="H30" r:id="rId16" xr:uid="{E3761DE4-665A-4721-970A-85A46EE76322}"/>
    <hyperlink ref="A32" r:id="rId17" xr:uid="{D0D55199-176D-408B-B903-3F0C31678BCB}"/>
    <hyperlink ref="A33" r:id="rId18" display="Tractions australienne" xr:uid="{DE53756E-32DF-437C-AE33-1F15C28B9EDC}"/>
    <hyperlink ref="A34" r:id="rId19" xr:uid="{73708FF9-A07F-4592-B7CB-C9A6F1E9D70C}"/>
    <hyperlink ref="A35" r:id="rId20" xr:uid="{984F5888-76CF-4E2E-A75F-8246F1BB0EA7}"/>
    <hyperlink ref="B36" r:id="rId21" xr:uid="{C56E9A2C-3F8B-49B3-8DB7-B46137EDFAB8}"/>
    <hyperlink ref="H36" r:id="rId22" xr:uid="{CF2F0AEC-D507-447D-AEA9-40795CB17FB4}"/>
    <hyperlink ref="A38" r:id="rId23" display="Pompes déclinées" xr:uid="{D06DE0F8-AD59-448F-A928-0FAF49D26BA9}"/>
    <hyperlink ref="A39" r:id="rId24" xr:uid="{8C1FE47D-466D-4C11-8426-E3823F900829}"/>
    <hyperlink ref="A40" r:id="rId25" xr:uid="{7D77547C-D5CE-4407-944C-2DD17D53B024}"/>
    <hyperlink ref="A41" r:id="rId26" display="Relevé de jambes suspendu ou au sol" xr:uid="{4B407A1C-73D3-43A8-A920-EB4FA2AF8BCE}"/>
    <hyperlink ref="A42" r:id="rId27" xr:uid="{4A60F424-3D87-4574-8B31-4E3A6FC35DCD}"/>
    <hyperlink ref="B44" r:id="rId28" xr:uid="{B7DCAACA-C3C3-43DD-A847-B010AAABE2A9}"/>
    <hyperlink ref="H44" r:id="rId29" xr:uid="{FE815755-92D5-4079-9E83-1C7BE4083119}"/>
    <hyperlink ref="A47" r:id="rId30" xr:uid="{80E1B287-B91C-46E5-B64D-DFCDD60227F7}"/>
    <hyperlink ref="A48" r:id="rId31" xr:uid="{FC88940D-E978-4359-B6A8-0C94659C73A5}"/>
    <hyperlink ref="A49" r:id="rId32" xr:uid="{9F9118DD-2E44-4771-A473-DA326F05CA56}"/>
    <hyperlink ref="A46" r:id="rId33" xr:uid="{3AA8762C-12F0-4B7C-A55C-68109D85FFA2}"/>
    <hyperlink ref="A50" r:id="rId34" xr:uid="{C244F454-6923-4932-B930-0C3AF0D77316}"/>
    <hyperlink ref="B51" r:id="rId35" xr:uid="{873DDE55-8252-4EBA-A038-A090796680D2}"/>
    <hyperlink ref="H51" r:id="rId36" xr:uid="{5186AE81-C54F-446E-A143-658BD6FE5825}"/>
    <hyperlink ref="A53" r:id="rId37" xr:uid="{A4775177-D155-4C2D-88BA-34EF3FA1776A}"/>
    <hyperlink ref="A54" r:id="rId38" display="Tractions australienne" xr:uid="{F7C95BBE-2521-4BA2-8B4B-CBA3FDF09D94}"/>
    <hyperlink ref="A55" r:id="rId39" xr:uid="{B38651FF-8226-41A0-AD07-1109B4C34898}"/>
    <hyperlink ref="A56" r:id="rId40" xr:uid="{A6438333-74A5-41FE-9BB7-45ABC11DF327}"/>
    <hyperlink ref="B61" r:id="rId41" xr:uid="{38F36FF5-A99E-420F-8B92-416FE527417B}"/>
    <hyperlink ref="H61" r:id="rId42" xr:uid="{5D9B1661-BF05-4DB6-AA94-687FC50E978E}"/>
    <hyperlink ref="A63" r:id="rId43" xr:uid="{9B7A2775-CC48-4C69-A73A-6A499A92DC55}"/>
    <hyperlink ref="A64" r:id="rId44" display="Tractions australienne" xr:uid="{E3BD7023-42E9-4C9F-9E18-2A442BA1D6B1}"/>
    <hyperlink ref="A65" r:id="rId45" xr:uid="{042B70D8-F2FF-49D3-8499-4B213E76CAA5}"/>
    <hyperlink ref="A66" r:id="rId46" xr:uid="{112FD958-51C1-46AE-A0DE-50EA014F28F9}"/>
    <hyperlink ref="B67" r:id="rId47" xr:uid="{7FD59C14-2D04-4A8B-8540-CCBF8E7F3521}"/>
    <hyperlink ref="H67" r:id="rId48" xr:uid="{3BFE5F5B-6C92-488A-B8EF-4818023FE062}"/>
    <hyperlink ref="A69" r:id="rId49" display="Pompes déclinées" xr:uid="{215297C1-AC44-4985-94F5-AD2DC92C80F4}"/>
    <hyperlink ref="A70" r:id="rId50" xr:uid="{A7AA8812-5354-435F-9AA0-9C6D502CE9D8}"/>
    <hyperlink ref="A71" r:id="rId51" xr:uid="{91A4263E-6442-4E53-A1EB-8D95CFEC444A}"/>
    <hyperlink ref="A72" r:id="rId52" display="Relevé de jambes suspendu ou au sol" xr:uid="{B2EFA0AB-1B04-4A89-8916-EDF1C92E2648}"/>
    <hyperlink ref="A73" r:id="rId53" xr:uid="{86F02B2B-46BA-4763-B3AA-F53CF97BF263}"/>
    <hyperlink ref="B75" r:id="rId54" xr:uid="{FB4D77A4-5572-411D-AC89-FEF8C99046F8}"/>
    <hyperlink ref="H75" r:id="rId55" xr:uid="{52F525CC-E84C-4436-B54A-009BEA760115}"/>
    <hyperlink ref="A78" r:id="rId56" xr:uid="{5E041E4C-AB89-4132-A990-B63706B22BDF}"/>
    <hyperlink ref="A79" r:id="rId57" xr:uid="{7DD7BED3-7356-46B5-8662-867F4DA3420E}"/>
    <hyperlink ref="A80" r:id="rId58" xr:uid="{6B822B67-CF53-4831-857E-C9D3117E5173}"/>
    <hyperlink ref="A77" r:id="rId59" xr:uid="{ED3EB535-1D68-47D3-BDE5-B04711A503B9}"/>
    <hyperlink ref="A81" r:id="rId60" xr:uid="{D45A9A23-117C-4F0E-AFBA-3C7C822306E3}"/>
    <hyperlink ref="B82" r:id="rId61" xr:uid="{6FF4ED54-B35D-428D-81D3-0676B49322BD}"/>
    <hyperlink ref="H82" r:id="rId62" xr:uid="{C8649783-3151-49B4-B242-D4829F0E77A8}"/>
    <hyperlink ref="A84" r:id="rId63" xr:uid="{9D762414-DF97-426B-8CB5-B792E500258E}"/>
    <hyperlink ref="A85" r:id="rId64" display="Tractions australienne" xr:uid="{B0EB2B59-2674-4181-96D0-254DCA01AA06}"/>
    <hyperlink ref="A86" r:id="rId65" xr:uid="{9B782C31-93F9-4DA7-B607-8573236F24E6}"/>
    <hyperlink ref="A87" r:id="rId66" xr:uid="{4C23A739-6FD8-45ED-97EA-FF40F6768CD0}"/>
    <hyperlink ref="B92" r:id="rId67" xr:uid="{E7A5D6F6-F27D-4672-BA15-9C17B75F628F}"/>
    <hyperlink ref="H92" r:id="rId68" xr:uid="{D97E687D-C710-4453-B951-9D8D2F18F0F4}"/>
    <hyperlink ref="A94" r:id="rId69" xr:uid="{9A069B78-B9D0-44D8-916A-3A43CDC4E792}"/>
    <hyperlink ref="A95" r:id="rId70" display="Tractions australienne" xr:uid="{D2DCA494-68A3-4D35-8836-BC1F419B7B5B}"/>
    <hyperlink ref="A96" r:id="rId71" xr:uid="{8D81095D-B1AB-4CDE-9C31-A9BE72DF708E}"/>
    <hyperlink ref="A97" r:id="rId72" xr:uid="{33197CD5-B7FE-45D4-9EF3-4C3AB354E25B}"/>
    <hyperlink ref="B98" r:id="rId73" xr:uid="{CAB1910E-AA68-465E-AA85-6682859ACFF6}"/>
    <hyperlink ref="H98" r:id="rId74" xr:uid="{E77924C5-47F3-401B-8574-4A7486B0E178}"/>
    <hyperlink ref="A100" r:id="rId75" display="Pompes déclinées" xr:uid="{3A35915C-118B-4473-B4C4-0DC7E4B43754}"/>
    <hyperlink ref="A101" r:id="rId76" xr:uid="{E37A7E07-102F-44F7-A727-C72F6E3DD91A}"/>
    <hyperlink ref="A102" r:id="rId77" xr:uid="{ED67C5F5-91FB-4CA0-96AC-4B64C1C53D93}"/>
    <hyperlink ref="A103" r:id="rId78" display="Relevé de jambes suspendu ou au sol" xr:uid="{1C8F3ADE-01B4-4CE5-9181-F5F0392D0F2C}"/>
    <hyperlink ref="A104" r:id="rId79" xr:uid="{CCC6E1BA-0D44-4AB2-AC9F-82DB71131F71}"/>
    <hyperlink ref="B106" r:id="rId80" xr:uid="{0FFF5C96-AA0F-4065-A303-40CE48C6A6EF}"/>
    <hyperlink ref="H106" r:id="rId81" xr:uid="{F45DC82B-288B-4A0D-8E10-2B7DA0305355}"/>
    <hyperlink ref="A109" r:id="rId82" xr:uid="{4AEC86B2-B769-4CA5-BBA2-7AF4AC55644A}"/>
    <hyperlink ref="A110" r:id="rId83" xr:uid="{4B1AC32D-05FD-434A-BAB0-666CEBBE831A}"/>
    <hyperlink ref="A111" r:id="rId84" xr:uid="{8BCD3BEB-5E7C-45CA-9E29-7F9E76DFEF5D}"/>
    <hyperlink ref="A108" r:id="rId85" xr:uid="{EC408F31-E1A9-42B6-9A3B-ED9FE607A590}"/>
    <hyperlink ref="A112" r:id="rId86" xr:uid="{179E741B-CE31-4DE3-85E6-9EA6270DC0EF}"/>
    <hyperlink ref="H113" r:id="rId87" xr:uid="{00DEBBE9-8EDA-40B3-A376-0EA0635D0CB9}"/>
    <hyperlink ref="A115" r:id="rId88" xr:uid="{0B2969BD-3B64-4900-82AE-B3AD4FC6F4C5}"/>
    <hyperlink ref="A116" r:id="rId89" display="Tractions australienne" xr:uid="{8616EF22-CE66-4682-B9C5-C3B2D408E6CD}"/>
    <hyperlink ref="A117" r:id="rId90" xr:uid="{F3FD17F4-2EBF-4CBF-A445-98AC41098A32}"/>
    <hyperlink ref="A118" r:id="rId91" xr:uid="{02D91B4D-ADF0-45C0-992D-3AC8DC9EF96B}"/>
  </hyperlinks>
  <pageMargins left="0.7" right="0.7" top="0.75" bottom="0.75" header="0.3" footer="0.3"/>
  <drawing r:id="rId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00D1-004C-4406-A1F1-EA4010890666}">
  <dimension ref="A1:O133"/>
  <sheetViews>
    <sheetView workbookViewId="0">
      <selection activeCell="C10" sqref="C10"/>
    </sheetView>
  </sheetViews>
  <sheetFormatPr baseColWidth="10" defaultRowHeight="15" x14ac:dyDescent="0.25"/>
  <cols>
    <col min="1" max="1" width="55.5703125" style="1" customWidth="1"/>
    <col min="2" max="2" width="18.140625" style="1" bestFit="1" customWidth="1"/>
    <col min="3" max="3" width="15.42578125" style="1" customWidth="1"/>
    <col min="4" max="5" width="32.140625" style="1" bestFit="1" customWidth="1"/>
    <col min="6" max="6" width="11.28515625" style="1" bestFit="1" customWidth="1"/>
    <col min="7" max="7" width="14.28515625" style="1" bestFit="1" customWidth="1"/>
    <col min="8" max="8" width="52.5703125" style="1" bestFit="1" customWidth="1"/>
    <col min="9" max="12" width="11.42578125" style="1"/>
    <col min="13" max="15" width="11.42578125" style="1" hidden="1" customWidth="1"/>
    <col min="16" max="16384" width="11.42578125" style="1"/>
  </cols>
  <sheetData>
    <row r="1" spans="1:15" ht="15.75" x14ac:dyDescent="0.25">
      <c r="A1" s="106" t="s">
        <v>396</v>
      </c>
      <c r="B1" s="106"/>
      <c r="C1" s="106"/>
      <c r="M1" s="62" t="s">
        <v>147</v>
      </c>
      <c r="N1" s="62" t="s">
        <v>8</v>
      </c>
      <c r="O1" s="62" t="s">
        <v>9</v>
      </c>
    </row>
    <row r="2" spans="1:15" x14ac:dyDescent="0.25">
      <c r="A2" s="211" t="s">
        <v>397</v>
      </c>
      <c r="B2" s="211"/>
      <c r="C2" s="211"/>
      <c r="D2" s="211"/>
      <c r="E2" s="211"/>
      <c r="F2" s="211"/>
      <c r="G2" s="211"/>
      <c r="H2" s="211"/>
      <c r="I2" s="211"/>
      <c r="M2" s="62"/>
      <c r="N2" s="62"/>
      <c r="O2" s="62"/>
    </row>
    <row r="3" spans="1:15" x14ac:dyDescent="0.25">
      <c r="A3" s="211" t="s">
        <v>398</v>
      </c>
      <c r="B3" s="211"/>
      <c r="C3" s="211"/>
      <c r="D3" s="211"/>
      <c r="E3" s="211"/>
      <c r="F3" s="211"/>
      <c r="G3" s="211"/>
      <c r="H3" s="211"/>
      <c r="I3" s="211"/>
      <c r="M3" s="62" t="s">
        <v>10</v>
      </c>
      <c r="N3" s="62" t="s">
        <v>22</v>
      </c>
      <c r="O3" s="99" t="s">
        <v>29</v>
      </c>
    </row>
    <row r="4" spans="1:15" x14ac:dyDescent="0.25">
      <c r="A4" s="211" t="s">
        <v>285</v>
      </c>
      <c r="B4" s="211"/>
      <c r="C4" s="211"/>
      <c r="D4" s="211"/>
      <c r="E4" s="211"/>
      <c r="F4" s="211"/>
      <c r="G4" s="211"/>
      <c r="H4" s="211"/>
      <c r="I4" s="211"/>
      <c r="M4" s="99" t="s">
        <v>11</v>
      </c>
      <c r="N4" s="99" t="s">
        <v>23</v>
      </c>
      <c r="O4" s="99" t="s">
        <v>30</v>
      </c>
    </row>
    <row r="5" spans="1:15" x14ac:dyDescent="0.25">
      <c r="A5" s="11" t="s">
        <v>308</v>
      </c>
      <c r="B5" s="11"/>
      <c r="C5" s="11"/>
      <c r="M5" s="99" t="s">
        <v>12</v>
      </c>
      <c r="N5" s="99" t="s">
        <v>24</v>
      </c>
      <c r="O5" s="99" t="s">
        <v>31</v>
      </c>
    </row>
    <row r="6" spans="1:15" x14ac:dyDescent="0.25">
      <c r="A6" s="176" t="s">
        <v>129</v>
      </c>
      <c r="B6" s="176"/>
      <c r="C6" s="176"/>
      <c r="M6" s="99" t="s">
        <v>13</v>
      </c>
      <c r="N6" s="99" t="s">
        <v>25</v>
      </c>
      <c r="O6" s="99" t="s">
        <v>32</v>
      </c>
    </row>
    <row r="7" spans="1:15" x14ac:dyDescent="0.25">
      <c r="A7" s="176"/>
      <c r="B7" s="176"/>
      <c r="C7" s="176"/>
      <c r="M7" s="99" t="s">
        <v>14</v>
      </c>
      <c r="N7" s="99" t="s">
        <v>26</v>
      </c>
      <c r="O7" s="99" t="s">
        <v>33</v>
      </c>
    </row>
    <row r="8" spans="1:15" x14ac:dyDescent="0.25">
      <c r="M8" s="99" t="s">
        <v>15</v>
      </c>
      <c r="N8" s="99" t="s">
        <v>27</v>
      </c>
      <c r="O8" s="99" t="s">
        <v>34</v>
      </c>
    </row>
    <row r="9" spans="1:15" x14ac:dyDescent="0.25">
      <c r="A9" s="238" t="s">
        <v>383</v>
      </c>
      <c r="B9" s="239"/>
      <c r="M9" s="99" t="s">
        <v>16</v>
      </c>
      <c r="N9" s="99" t="s">
        <v>13</v>
      </c>
      <c r="O9" s="99" t="s">
        <v>35</v>
      </c>
    </row>
    <row r="10" spans="1:15" x14ac:dyDescent="0.25">
      <c r="A10" s="248" t="s">
        <v>399</v>
      </c>
      <c r="B10" s="245"/>
      <c r="M10" s="99" t="s">
        <v>17</v>
      </c>
      <c r="N10" s="99" t="s">
        <v>14</v>
      </c>
      <c r="O10" s="99" t="s">
        <v>36</v>
      </c>
    </row>
    <row r="11" spans="1:15" x14ac:dyDescent="0.25">
      <c r="A11" s="79" t="s">
        <v>157</v>
      </c>
      <c r="B11" s="87"/>
      <c r="C11" s="8" t="s">
        <v>402</v>
      </c>
      <c r="M11" s="99" t="s">
        <v>18</v>
      </c>
      <c r="N11" s="99" t="s">
        <v>15</v>
      </c>
      <c r="O11" s="99" t="s">
        <v>37</v>
      </c>
    </row>
    <row r="12" spans="1:15" x14ac:dyDescent="0.25">
      <c r="A12" s="79" t="s">
        <v>400</v>
      </c>
      <c r="B12" s="8" t="s">
        <v>401</v>
      </c>
      <c r="M12" s="99" t="s">
        <v>19</v>
      </c>
      <c r="N12" s="99" t="s">
        <v>16</v>
      </c>
      <c r="O12" s="99" t="s">
        <v>38</v>
      </c>
    </row>
    <row r="13" spans="1:15" x14ac:dyDescent="0.25">
      <c r="A13" s="246" t="s">
        <v>394</v>
      </c>
      <c r="B13" s="87"/>
      <c r="M13" s="99" t="s">
        <v>20</v>
      </c>
      <c r="N13" s="99" t="s">
        <v>28</v>
      </c>
      <c r="O13" s="99" t="s">
        <v>39</v>
      </c>
    </row>
    <row r="14" spans="1:15" x14ac:dyDescent="0.25">
      <c r="A14" s="187" t="s">
        <v>380</v>
      </c>
      <c r="B14" s="8" t="s">
        <v>382</v>
      </c>
      <c r="M14" s="99" t="s">
        <v>21</v>
      </c>
      <c r="N14" s="62"/>
      <c r="O14" s="99" t="s">
        <v>40</v>
      </c>
    </row>
    <row r="15" spans="1:15" x14ac:dyDescent="0.25">
      <c r="M15" s="62"/>
      <c r="N15" s="62"/>
      <c r="O15" s="99" t="s">
        <v>41</v>
      </c>
    </row>
    <row r="16" spans="1:15" x14ac:dyDescent="0.25">
      <c r="A16" s="238" t="s">
        <v>384</v>
      </c>
      <c r="B16" s="239"/>
      <c r="M16" s="62"/>
      <c r="N16" s="62"/>
      <c r="O16" s="99" t="s">
        <v>42</v>
      </c>
    </row>
    <row r="17" spans="1:8" x14ac:dyDescent="0.25">
      <c r="A17" s="260" t="s">
        <v>302</v>
      </c>
      <c r="B17" s="259"/>
    </row>
    <row r="18" spans="1:8" x14ac:dyDescent="0.25">
      <c r="A18" s="258" t="s">
        <v>166</v>
      </c>
      <c r="B18" s="255"/>
    </row>
    <row r="19" spans="1:8" x14ac:dyDescent="0.25">
      <c r="A19" s="258" t="s">
        <v>174</v>
      </c>
      <c r="B19" s="255"/>
    </row>
    <row r="20" spans="1:8" x14ac:dyDescent="0.25">
      <c r="A20" s="258" t="s">
        <v>171</v>
      </c>
      <c r="B20" s="255"/>
    </row>
    <row r="21" spans="1:8" ht="15.75" thickBot="1" x14ac:dyDescent="0.3">
      <c r="A21" s="242" t="s">
        <v>161</v>
      </c>
      <c r="B21" s="261"/>
    </row>
    <row r="22" spans="1:8" x14ac:dyDescent="0.25">
      <c r="A22" s="263"/>
      <c r="B22" s="264"/>
    </row>
    <row r="23" spans="1:8" x14ac:dyDescent="0.25">
      <c r="A23" s="238" t="s">
        <v>385</v>
      </c>
      <c r="B23" s="239"/>
    </row>
    <row r="24" spans="1:8" x14ac:dyDescent="0.25">
      <c r="A24" s="86" t="s">
        <v>147</v>
      </c>
      <c r="B24" s="87"/>
    </row>
    <row r="25" spans="1:8" x14ac:dyDescent="0.25">
      <c r="A25" s="79" t="s">
        <v>155</v>
      </c>
      <c r="B25" s="87"/>
    </row>
    <row r="26" spans="1:8" x14ac:dyDescent="0.25">
      <c r="A26" s="79" t="s">
        <v>7</v>
      </c>
      <c r="B26" s="87"/>
    </row>
    <row r="27" spans="1:8" x14ac:dyDescent="0.25">
      <c r="A27" s="79" t="s">
        <v>328</v>
      </c>
      <c r="B27" s="87"/>
    </row>
    <row r="28" spans="1:8" ht="15.75" thickBot="1" x14ac:dyDescent="0.3">
      <c r="A28" s="242" t="s">
        <v>327</v>
      </c>
      <c r="B28" s="243"/>
    </row>
    <row r="31" spans="1:8" ht="15.75" thickBot="1" x14ac:dyDescent="0.3">
      <c r="A31" s="213" t="s">
        <v>0</v>
      </c>
      <c r="B31" s="213"/>
      <c r="C31" s="213"/>
      <c r="D31" s="213"/>
      <c r="E31" s="213"/>
      <c r="F31" s="213"/>
      <c r="G31" s="213"/>
      <c r="H31" s="213"/>
    </row>
    <row r="32" spans="1:8" x14ac:dyDescent="0.25">
      <c r="A32" s="72" t="s">
        <v>386</v>
      </c>
      <c r="B32" s="208" t="s">
        <v>324</v>
      </c>
      <c r="C32" s="209"/>
      <c r="D32" s="209"/>
      <c r="E32" s="209"/>
      <c r="H32" s="147" t="s">
        <v>325</v>
      </c>
    </row>
    <row r="33" spans="1:8" x14ac:dyDescent="0.25">
      <c r="A33" s="73" t="s">
        <v>2</v>
      </c>
      <c r="B33" s="74" t="s">
        <v>3</v>
      </c>
      <c r="C33" s="74" t="s">
        <v>4</v>
      </c>
      <c r="D33" s="74" t="s">
        <v>5</v>
      </c>
      <c r="E33" s="74" t="s">
        <v>6</v>
      </c>
      <c r="F33" s="74" t="s">
        <v>124</v>
      </c>
      <c r="G33" s="74" t="s">
        <v>125</v>
      </c>
      <c r="H33" s="74" t="s">
        <v>123</v>
      </c>
    </row>
    <row r="34" spans="1:8" x14ac:dyDescent="0.25">
      <c r="A34" s="248" t="s">
        <v>399</v>
      </c>
      <c r="B34" s="65">
        <f>IF(B10=M3,"2",IF(B10=M4,"5",IF(B10=M5,"8",IF(B10=M6,"12",IF(B10=M7,14,IF(B10=M8,17,IF(B10=M9,22,IF(B10=M10,27,IF(B10=M11,30,IF(B10=M12,30,IF(B10=M13,30,IF(B10=M14,35,0))))))))))))</f>
        <v>0</v>
      </c>
      <c r="C34" s="65">
        <f>IF(B10=M3,"3",IF(B10=M4,"6",IF(B10=M5,"9",IF(B10=M6,"17",IF(B10=M7,18,IF(B10=M8,19,IF(B10=M9,24,IF(B10=M10,29,IF(B10=M11,34,IF(B10=M12,39,IF(B10=M13,44,IF(B10=M14,49,0))))))))))))</f>
        <v>0</v>
      </c>
      <c r="D34" s="65">
        <f>IF(B10=M3,"2",IF(B10=M4,"4",IF(B10=M5,"7",IF(B10=M6,"13",IF(B10=M7,14,IF(B10=M8,15,IF(B10=M9,20,IF(B10=M10,25,IF(B10=M11,30,IF(B10=M12,35,IF(B10=M13,40,IF(B10=M14,45,0))))))))))))</f>
        <v>0</v>
      </c>
      <c r="E34" s="65">
        <f>IF(B10=M3,"Max de répétitions et minimum 3",IF(B10=M4,"Max de répétitions et minimum 5",IF(B10=M5,"Max de répétitions et minimum 8",IF(B10=M6,"Max de répétitions et minimum 17",IF(B10=M7,"Max de répétitions et minimum 20",IF(B10=M8,"Max de répétitions et minimum 20",IF(B10=M9,"Max de répétitions et minimum 25",IF(B10=M10,"Max de répétitions et minimum 35",IF(B10=M11,"Max de répétitions et minimum 40",IF(B10=M12,"Max de répétitions et minimum 42",IF(B10=M13,"Max de répétitions et minimum 55",IF(B10=M14,"Max de répétitions et minimum 55",0))))))))))))</f>
        <v>0</v>
      </c>
      <c r="F34" s="68" t="s">
        <v>131</v>
      </c>
      <c r="G34" s="68" t="s">
        <v>131</v>
      </c>
      <c r="H34" s="67"/>
    </row>
    <row r="35" spans="1:8" x14ac:dyDescent="0.25">
      <c r="A35" s="79" t="s">
        <v>157</v>
      </c>
      <c r="B35" s="68">
        <f>IF(B11=N3,"2",IF(B11=N4,"3",IF(B11=N5,"2",IF(B11=N6,"3",IF(B11=N7,6,IF(B11=N8,8,IF(B11=N9,12,IF(B11=N10,16,IF(B11=N11,20,IF(B11=N12,23,IF(B11=N13,25,0)))))))))))</f>
        <v>0</v>
      </c>
      <c r="C35" s="68">
        <f>IF(B11=N3,"3",IF(B11=N4,"2",IF(B11=N5,"3",IF(B11=N6,"5",IF(B11=N7,8,IF(B11=N8,11,IF(B11=N9,16,IF(B11=N10,18,IF(B11=N11,25,IF(B11=N12,27,IF(B11=N13,28,0)))))))))))</f>
        <v>0</v>
      </c>
      <c r="D35" s="68">
        <f>IF(B11=N3,"2",IF(B11=N4,"3",IF(B11=N5,"2",IF(B11=N6,"3",IF(B11=N7,6,IF(B11=N8,8,IF(B11=N9,12,IF(B11=N10,15,IF(B11=N11,19,IF(B11=N12,22,IF(B11=N13,24,0)))))))))))</f>
        <v>0</v>
      </c>
      <c r="E35" s="68">
        <f>IF(B11=N3,"Max de répétitions",IF(B11=N4,"Max de répétitions",IF(B11=N5,"Max de répétitions et minimum 3",IF(B11=N6,"Max de répétitions et minimum 4",IF(B11=N7,"Max de répétitions et minimum 7",IF(B11=N8,"Max de répétitions et minimum 9",IF(B11=N9,"Max de répétitions et minimum 13",IF(B11=N10,"Max de répétitions et minimum 16",IF(B11=N11,"Max de répétitions et minimum 20",IF(B11=N12,"Max de répétitions et minimum 21",IF(B11=N13,"Max de répétitions et minimum 25",0)))))))))))</f>
        <v>0</v>
      </c>
      <c r="F35" s="68" t="s">
        <v>131</v>
      </c>
      <c r="G35" s="68" t="s">
        <v>131</v>
      </c>
      <c r="H35" s="69"/>
    </row>
    <row r="36" spans="1:8" x14ac:dyDescent="0.25">
      <c r="A36" s="79" t="s">
        <v>400</v>
      </c>
      <c r="B36" s="68">
        <v>8</v>
      </c>
      <c r="C36" s="68">
        <v>8</v>
      </c>
      <c r="D36" s="68">
        <v>8</v>
      </c>
      <c r="E36" s="265">
        <v>8</v>
      </c>
      <c r="F36" s="68" t="s">
        <v>131</v>
      </c>
      <c r="G36" s="68" t="s">
        <v>131</v>
      </c>
      <c r="H36" s="69"/>
    </row>
    <row r="37" spans="1:8" x14ac:dyDescent="0.25">
      <c r="A37" s="246" t="s">
        <v>394</v>
      </c>
      <c r="B37" s="68">
        <f>IF(B13=N3,"2",IF(B13=N4,"3",IF(B13=N5,"2",IF(B13=N6,"3",IF(B13=N7,6,IF(B13=N8,8,IF(B13=N9,12,IF(B13=N10,16,IF(B13=N11,20,IF(B13=N12,23,IF(B13=N13,25,0)))))))))))</f>
        <v>0</v>
      </c>
      <c r="C37" s="68">
        <f>IF(B13=N3,"3",IF(B13=N4,"2",IF(B13=N5,"3",IF(B13=N6,"5",IF(B13=N7,8,IF(B13=N8,11,IF(B13=N9,16,IF(B13=N10,18,IF(B13=N11,25,IF(B13=N12,27,IF(B13=N13,28,0)))))))))))</f>
        <v>0</v>
      </c>
      <c r="D37" s="68">
        <f>IF(B13=N3,"2",IF(B13=N4,"3",IF(B13=N5,"2",IF(B13=N6,"3",IF(B13=N7,6,IF(B13=N8,8,IF(B13=N9,12,IF(B13=N10,15,IF(B13=N11,19,IF(B13=N12,22,IF(B13=N13,24,0)))))))))))</f>
        <v>0</v>
      </c>
      <c r="E37" s="265">
        <f>IF(B11=N3,"Max de répétitions",IF(B11=N4,"Max de répétitions",IF(B11=N5,"Max de répétitions et minimum 3",IF(B11=N6,"Max de répétitions et minimum 4",IF(B11=N7,"Max de répétitions et minimum 7",IF(B11=N8,"Max de répétitions et minimum 9",IF(B11=N9,"Max de répétitions et minimum 13",IF(B11=N10,"Max de répétitions et minimum 16",IF(B11=N11,"Max de répétitions et minimum 20",IF(B11=N12,"Max de répétitions et minimum 21",IF(B11=N13,"Max de répétitions et minimum 25",0)))))))))))</f>
        <v>0</v>
      </c>
      <c r="F37" s="68" t="s">
        <v>131</v>
      </c>
      <c r="G37" s="68" t="s">
        <v>131</v>
      </c>
      <c r="H37" s="70"/>
    </row>
    <row r="38" spans="1:8" ht="15.75" thickBot="1" x14ac:dyDescent="0.3">
      <c r="A38" s="79" t="s">
        <v>380</v>
      </c>
      <c r="B38" s="68">
        <v>8</v>
      </c>
      <c r="C38" s="68">
        <v>8</v>
      </c>
      <c r="D38" s="68">
        <v>8</v>
      </c>
      <c r="E38" s="112"/>
      <c r="F38" s="68" t="s">
        <v>131</v>
      </c>
      <c r="G38" s="112"/>
      <c r="H38" s="70"/>
    </row>
    <row r="39" spans="1:8" x14ac:dyDescent="0.25">
      <c r="A39" s="72" t="s">
        <v>384</v>
      </c>
      <c r="B39" s="208" t="s">
        <v>324</v>
      </c>
      <c r="C39" s="209"/>
      <c r="D39" s="209"/>
      <c r="E39" s="209"/>
      <c r="H39" s="147" t="s">
        <v>325</v>
      </c>
    </row>
    <row r="40" spans="1:8" x14ac:dyDescent="0.25">
      <c r="A40" s="73" t="s">
        <v>2</v>
      </c>
      <c r="B40" s="74" t="s">
        <v>3</v>
      </c>
      <c r="C40" s="74" t="s">
        <v>4</v>
      </c>
      <c r="D40" s="74" t="s">
        <v>5</v>
      </c>
      <c r="E40" s="74" t="s">
        <v>6</v>
      </c>
      <c r="F40" s="74" t="s">
        <v>124</v>
      </c>
      <c r="G40" s="74" t="s">
        <v>125</v>
      </c>
      <c r="H40" s="74" t="s">
        <v>123</v>
      </c>
    </row>
    <row r="41" spans="1:8" x14ac:dyDescent="0.25">
      <c r="A41" s="79" t="s">
        <v>302</v>
      </c>
      <c r="B41" s="65">
        <f>IF(B17=O3,"4",IF(B17=O4,"8",IF(B17=O5,"16",IF(B17=O6,"22",IF(B17=O7,26,IF(B17=O8,32,IF(B17=O9,38,IF(B17=O10,44,IF(B17=O11,50,IF(B17=O12,52,IF(B17=O13,50,IF(B17=O14,50,IF(B17=O15,60,IF(B17=O16,74,0))))))))))))))</f>
        <v>0</v>
      </c>
      <c r="C41" s="65">
        <f>IF(B17=O3,"6",IF(B17=O4,"8",IF(B17=O5,"16",IF(B17=O6,"22",IF(B17=O7,26,IF(B17=O8,32,IF(B17=O9,36,IF(B17=O10,44,IF(B17=O11,50,IF(B17=O12,52,IF(B17=O13,42,IF(B17=O14,52,IF(B17=O15,60,IF(B17=O16,64,0))))))))))))))</f>
        <v>0</v>
      </c>
      <c r="D41" s="65">
        <f>IF(B17=O3,"6",IF(B17=O4,"8",IF(B17=O5,"16",IF(B17=O6,"22",IF(B17=O7,26,IF(B17=O8,30,IF(B17=O9,36,IF(B17=O10,40,IF(B17=O11,48,IF(B17=O12,54,IF(B17=O13,56,IF(B17=O14,56,IF(B17=O15,60,IF(B17=O16,54,0))))))))))))))</f>
        <v>0</v>
      </c>
      <c r="E41" s="65">
        <f>IF(B17=O3,"Max de répétitions et minimum 7",IF(B17=O4,"Max de répétitions et minimum 10",IF(B17=O5,"Max de répétitions et minimum 10",IF(B17=O6,"Max de répétitions et minimum 24",IF(B17=O7,"Max de répétitions et minimum 28",IF(B17=O8,"Max de répétitions et minimum 32",IF(B17=O9,"Max de répétitions et minimum 40",IF(B17=O10,"Max de répétitions et minimum 46",IF(B17=O11,"Max de répétitions et minimum 50",IF(B17=O12,"Max de répétitions et minimum 60",IF(B17=O13,"Max de répétitions et minimum 65",IF(B17=O14,"Max de répétitions et minimum 70",IF(B17=O15,"Max de répétitions et minimum 60",IF(B17=O16,"Max de répétitions et minimum 64",0))))))))))))))</f>
        <v>0</v>
      </c>
      <c r="F41" s="68" t="s">
        <v>128</v>
      </c>
      <c r="G41" s="68" t="s">
        <v>127</v>
      </c>
      <c r="H41" s="67" t="s">
        <v>387</v>
      </c>
    </row>
    <row r="42" spans="1:8" x14ac:dyDescent="0.25">
      <c r="A42" s="79" t="s">
        <v>166</v>
      </c>
      <c r="B42" s="68">
        <f>IF(B18=N3,"2",IF(B18=N4,"3",IF(B18=N5,"2",IF(B18=N6,"3",IF(B18=N7,6,IF(B18=N8,8,IF(B18=N9,12,IF(B18=N10,16,IF(B18=N11,20,IF(B18=N12,23,IF(B18=N13,25,0)))))))))))</f>
        <v>0</v>
      </c>
      <c r="C42" s="68">
        <f>IF(B18=N3,"3",IF(B18=N4,"2",IF(B18=N5,"3",IF(B18=N6,"5",IF(B18=N7,8,IF(B18=N8,11,IF(B18=N9,16,IF(B18=N10,18,IF(B18=N11,25,IF(B18=N12,27,IF(B18=N13,28,0)))))))))))</f>
        <v>0</v>
      </c>
      <c r="D42" s="68">
        <f>IF(B18=N3,"2",IF(B18=N4,"3",IF(B18=N5,"2",IF(B18=N6,"3",IF(B18=N7,6,IF(B18=N8,8,IF(B18=N9,12,IF(B18=N10,15,IF(B18=N11,19,IF(B18=N12,22,IF(B18=N13,24,0)))))))))))</f>
        <v>0</v>
      </c>
      <c r="E42" s="68">
        <f>IF(B18=N3,"Max de répétitions",IF(B18=N4,"Max de répétitions",IF(B18=N5,"Max de répétitions et minimum 3",IF(B18=N6,"Max de répétitions et minimum 4",IF(B18=N7,"Max de répétitions et minimum 7",IF(B18=N8,"Max de répétitions et minimum 9",IF(B18=N9,"Max de répétitions et minimum 13",IF(B18=N10,"Max de répétitions et minimum 16",IF(B18=N11,"Max de répétitions et minimum 20",IF(B18=N12,"Max de répétitions et minimum 21",IF(B18=N13,"Max de répétitions et minimum 25",0)))))))))))</f>
        <v>0</v>
      </c>
      <c r="F42" s="68" t="s">
        <v>130</v>
      </c>
      <c r="G42" s="68" t="s">
        <v>128</v>
      </c>
      <c r="H42" s="69"/>
    </row>
    <row r="43" spans="1:8" x14ac:dyDescent="0.25">
      <c r="A43" s="79" t="s">
        <v>174</v>
      </c>
      <c r="B43" s="68">
        <f>IF(B19=N3,"2",IF(B19=N4,"3",IF(B19=N5,"2",IF(B19=N6,"3",IF(B19=N7,6,IF(B19=N8,8,IF(B19=N9,12,IF(B19=N10,16,IF(B19=N11,20,IF(B19=N12,23,IF(B19=N13,25,0)))))))))))</f>
        <v>0</v>
      </c>
      <c r="C43" s="68">
        <f>IF(B19=N3,"3",IF(B19=N4,"2",IF(B19=N5,"3",IF(B19=N6,"5",IF(B19=N7,8,IF(B19=N8,11,IF(B19=N9,16,IF(B19=N10,18,IF(B19=N11,25,IF(B19=N12,27,IF(B19=N13,28,0)))))))))))</f>
        <v>0</v>
      </c>
      <c r="D43" s="68">
        <f>IF(B19=N3,"2",IF(B19=N4,"3",IF(B19=N5,"2",IF(B19=N6,"3",IF(B19=N7,6,IF(B19=N8,8,IF(B19=N9,12,IF(B19=N10,15,IF(B19=N11,19,IF(B19=N12,22,IF(B19=N13,24,0)))))))))))</f>
        <v>0</v>
      </c>
      <c r="E43" s="68">
        <f>IF(B19=N3,"Max de répétitions",IF(B19=N4,"Max de répétitions",IF(B19=N5,"Max de répétitions et minimum 3",IF(B19=N6,"Max de répétitions et minimum 4",IF(B19=N7,"Max de répétitions et minimum 7",IF(B19=N8,"Max de répétitions et minimum 9",IF(B19=N9,"Max de répétitions et minimum 13",IF(B19=N10,"Max de répétitions et minimum 16",IF(B19=N11,"Max de répétitions et minimum 20",IF(B19=N12,"Max de répétitions et minimum 21",IF(B19=N13,"Max de répétitions et minimum 25",0)))))))))))</f>
        <v>0</v>
      </c>
      <c r="F43" s="68" t="s">
        <v>130</v>
      </c>
      <c r="G43" s="68" t="s">
        <v>128</v>
      </c>
      <c r="H43" s="69"/>
    </row>
    <row r="44" spans="1:8" x14ac:dyDescent="0.25">
      <c r="A44" s="79" t="s">
        <v>171</v>
      </c>
      <c r="B44" s="68">
        <f>IF(B20=M3,"2",IF(B20=M4,"5",IF(B20=M5,"8",IF(B20=M6,"12",IF(B20=M7,14,IF(B20=M8,17,IF(B20=M9,22,IF(B20=M10,27,IF(B20=M11,30,IF(B20=M12,30,IF(B20=M13,30,IF(B20=M14,35,0))))))))))))</f>
        <v>0</v>
      </c>
      <c r="C44" s="68">
        <f>IF(B20=M3,"3",IF(B20=M4,"6",IF(B20=M5,"9",IF(B20=M6,"17",IF(B20=M7,18,IF(B20=M8,19,IF(B20=M9,24,IF(B20=M10,29,IF(B20=M11,34,IF(B20=M12,39,IF(B20=M13,44,IF(B20=M14,49,0))))))))))))</f>
        <v>0</v>
      </c>
      <c r="D44" s="68">
        <f>IF(B20=M3,"Max de répétitions et minimum 3",IF(B20=M4,"Max de répétitions et minimum 5",IF(B20=M5,"Max de répétitions et minimum 8",IF(B20=M6,"Max de répétitions et minimum 17",IF(B20=M7,"Max de répétitions et minimum 20",IF(B20=M8,"Max de répétitions et minimum 20",IF(B20=M9,"Max de répétitions et minimum 25",IF(B20=M10,"Max de répétitions et minimum 35",IF(B20=M11,"Max de répétitions et minimum 40",IF(B20=M12,"Max de répétitions et minimum 42",IF(B20=M13,"Max de répétitions et minimum 55",IF(B20=M14,"Max de répétitions et minimum 55",0))))))))))))</f>
        <v>0</v>
      </c>
      <c r="E44" s="112"/>
      <c r="F44" s="68" t="s">
        <v>173</v>
      </c>
      <c r="G44" s="68" t="s">
        <v>131</v>
      </c>
      <c r="H44" s="70"/>
    </row>
    <row r="45" spans="1:8" x14ac:dyDescent="0.25">
      <c r="A45" s="79" t="s">
        <v>161</v>
      </c>
      <c r="B45" s="68">
        <f>IF(B21=N3,"2",IF(B21=N4,"3",IF(B21=N5,"2",IF(B21=N6,"3",IF(B21=N7,6,IF(B21=N8,8,IF(B21=N9,12,IF(B21=N10,16,IF(B21=N11,20,IF(B21=N12,23,IF(B21=N13,25,0)))))))))))</f>
        <v>0</v>
      </c>
      <c r="C45" s="68">
        <f>IF(B21=N3,"3",IF(B21=N4,"2",IF(B21=N5,"3",IF(B21=N6,"5",IF(B21=N7,8,IF(B21=N8,11,IF(B21=N9,16,IF(B21=N10,18,IF(B21=N11,25,IF(B21=N12,27,IF(B21=N13,28,0)))))))))))</f>
        <v>0</v>
      </c>
      <c r="D45" s="68">
        <f>IF(B21=N3,"Max de répétitions",IF(B21=N4,"Max de répétitions",IF(B21=N5,"Max de répétitions et minimum 3",IF(B21=N6,"Max de répétitions et minimum 4",IF(B21=N7,"Max de répétitions et minimum 7",IF(B21=N8,"Max de répétitions et minimum 9",IF(B21=N9,"Max de répétitions et minimum 13",IF(B21=N10,"Max de répétitions et minimum 16",IF(B21=N11,"Max de répétitions et minimum 20",IF(B21=N12,"Max de répétitions et minimum 21",IF(B21=N13,"Max de répétitions et minimum 25",0)))))))))))</f>
        <v>0</v>
      </c>
      <c r="E45" s="112"/>
      <c r="F45" s="68" t="s">
        <v>131</v>
      </c>
      <c r="G45" s="112"/>
      <c r="H45" s="70"/>
    </row>
    <row r="46" spans="1:8" ht="15.75" thickBot="1" x14ac:dyDescent="0.3">
      <c r="A46" s="214" t="s">
        <v>152</v>
      </c>
      <c r="B46" s="215"/>
      <c r="C46" s="215"/>
      <c r="D46" s="215"/>
      <c r="E46" s="215"/>
      <c r="F46" s="215"/>
      <c r="G46" s="215"/>
      <c r="H46" s="215"/>
    </row>
    <row r="47" spans="1:8" x14ac:dyDescent="0.25">
      <c r="A47" s="72" t="s">
        <v>385</v>
      </c>
      <c r="B47" s="208" t="s">
        <v>324</v>
      </c>
      <c r="C47" s="209"/>
      <c r="D47" s="209"/>
      <c r="E47" s="209"/>
      <c r="H47" s="147" t="s">
        <v>325</v>
      </c>
    </row>
    <row r="48" spans="1:8" x14ac:dyDescent="0.25">
      <c r="A48" s="73" t="s">
        <v>2</v>
      </c>
      <c r="B48" s="74" t="s">
        <v>3</v>
      </c>
      <c r="C48" s="74" t="s">
        <v>4</v>
      </c>
      <c r="D48" s="74" t="s">
        <v>5</v>
      </c>
      <c r="E48" s="74" t="s">
        <v>6</v>
      </c>
      <c r="F48" s="74" t="s">
        <v>124</v>
      </c>
      <c r="G48" s="74" t="s">
        <v>125</v>
      </c>
      <c r="H48" s="74" t="s">
        <v>123</v>
      </c>
    </row>
    <row r="49" spans="1:8" x14ac:dyDescent="0.25">
      <c r="A49" s="86" t="s">
        <v>147</v>
      </c>
      <c r="B49" s="68">
        <f>IF(B24=M3,"2",IF(B24=M4,"5",IF(B24=M5,"8",IF(B24=M6,"12",IF(B24=M7,14,IF(B24=M8,17,IF(B24=M9,22,IF(B24=M10,27,IF(B24=M11,30,IF(B24=M12,30,IF(B24=M13,30,IF(B24=M14,35,0))))))))))))</f>
        <v>0</v>
      </c>
      <c r="C49" s="68">
        <f>IF(B24=M3,"3",IF(B24=M4,"6",IF(B24=M5,"9",IF(B24=M6,"17",IF(B24=M7,18,IF(B24=M8,19,IF(B24=M9,24,IF(B24=M10,29,IF(B24=M11,34,IF(B24=M12,39,IF(B24=M13,44,IF(B24=M14,49,0))))))))))))</f>
        <v>0</v>
      </c>
      <c r="D49" s="68">
        <f>IF(B24=M3,"2",IF(B24=M4,"4",IF(B24=M5,"7",IF(B24=M6,"13",IF(B24=M7,14,IF(B24=M8,15,IF(B24=M9,20,IF(B24=M10,25,IF(B24=M11,30,IF(B24=M12,35,IF(B24=M13,40,IF(B24=M14,45,0))))))))))))</f>
        <v>0</v>
      </c>
      <c r="E49" s="68">
        <f>IF(B24=M3,"Max de répétitions et minimum 3",IF(B24=M4,"Max de répétitions et minimum 5",IF(B24=M5,"Max de répétitions et minimum 8",IF(B24=M6,"Max de répétitions et minimum 17",IF(B24=M7,"Max de répétitions et minimum 20",IF(B24=M8,"Max de répétitions et minimum 20",IF(B24=M9,"Max de répétitions et minimum 25",IF(B24=M10,"Max de répétitions et minimum 35",IF(B24=M11,"Max de répétitions et minimum 40",IF(B24=M12,"Max de répétitions et minimum 42",IF(B24=M13,"Max de répétitions et minimum 55",IF(B24=M14,"Max de répétitions et minimum 55",0))))))))))))</f>
        <v>0</v>
      </c>
      <c r="F49" s="68" t="s">
        <v>128</v>
      </c>
      <c r="G49" s="68" t="s">
        <v>128</v>
      </c>
      <c r="H49" s="68"/>
    </row>
    <row r="50" spans="1:8" x14ac:dyDescent="0.25">
      <c r="A50" s="79" t="s">
        <v>155</v>
      </c>
      <c r="B50" s="68">
        <f>IF(B25=N3,"2",IF(B25=N4,"4",IF(B25=N5,"2",IF(B25=N6,"3",IF(B25=N7,6,IF(B25=N8,8,IF(B25=N9,12,IF(B25=N10,16,IF(B25=N11,20,IF(B25=N12,23,IF(B25=N13,25,0)))))))))))</f>
        <v>0</v>
      </c>
      <c r="C50" s="68">
        <f>IF(B25=N3,"7",IF(B25=N4,"9",IF(B25=N5,"3",IF(B25=N6,"5",IF(B25=N7,8,IF(B25=N8,11,IF(B25=N9,16,IF(B25=N10,18,IF(B25=N11,25,IF(B25=N12,27,IF(B25=N13,28,0)))))))))))</f>
        <v>0</v>
      </c>
      <c r="D50" s="68">
        <f>IF(B25=N3,"5",IF(B25=N4,"6",IF(B25=N5,"2",IF(B25=N6,"3",IF(B25=N7,6,IF(B25=N8,8,IF(B25=N9,12,IF(B25=N10,15,IF(B25=N11,19,IF(B25=N12,22,IF(B25=N13,24,0)))))))))))</f>
        <v>0</v>
      </c>
      <c r="E50" s="68">
        <f>IF(B25=N3,"6",IF(B25=N4,"7",IF(B25=N5,"Max de répétitions et minimum 3",IF(B25=N6,"Max de répétitions et minimum 4",IF(B25=N7,"Max de répétitions et minimum 7",IF(B25=N8,"Max de répétitions et minimum 9",IF(B25=N9,"Max de répétitions et minimum 13",IF(B25=N10,"Max de répétitions et minimum 16",IF(B25=N11,"Max de répétitions et minimum 20",IF(B25=N12,"Max de répétitions et minimum 21",IF(B25=N13,"Max de répétitions et minimum 25",0)))))))))))</f>
        <v>0</v>
      </c>
      <c r="F50" s="68" t="s">
        <v>128</v>
      </c>
      <c r="G50" s="68" t="s">
        <v>128</v>
      </c>
      <c r="H50" s="76" t="str">
        <f>IF(OR(B25=N3,B25=N4),"Toutes les répétitions en excentrique","")</f>
        <v/>
      </c>
    </row>
    <row r="51" spans="1:8" x14ac:dyDescent="0.25">
      <c r="A51" s="79" t="s">
        <v>7</v>
      </c>
      <c r="B51" s="68">
        <f>IF(B26=M3,"2",IF(B26=M4,"5",IF(B26=M5,"8",IF(B26=M6,"12",IF(B26=M7,14,IF(B26=M8,17,IF(B26=M9,22,IF(B26=M10,27,IF(B26=M11,30,IF(B26=M12,30,IF(B26=M13,30,IF(B26=M14,35,0))))))))))))</f>
        <v>0</v>
      </c>
      <c r="C51" s="68">
        <f>IF(B26=M3,"3",IF(B26=M4,"6",IF(B26=M5,"9",IF(B26=M6,"17",IF(B26=M7,18,IF(B26=M8,19,IF(B26=M9,24,IF(B26=M10,29,IF(B26=M11,34,IF(B26=M12,39,IF(B26=M13,44,IF(B26=M14,49,0))))))))))))</f>
        <v>0</v>
      </c>
      <c r="D51" s="68">
        <f>IF(B26=M3,"2",IF(B26=M4,"4",IF(B26=M5,"7",IF(B26=M6,"13",IF(B26=M7,14,IF(B26=M8,15,IF(B26=M9,20,IF(B26=M10,25,IF(B26=M11,30,IF(B26=M12,35,IF(B26=M13,40,IF(B26=M14,45,0))))))))))))</f>
        <v>0</v>
      </c>
      <c r="E51" s="68">
        <f>IF(B26=M3,"Max de répétitions et minimum 3",IF(B26=M4,"Max de répétitions et minimum 5",IF(B26=M5,"Max de répétitions et minimum 8",IF(B26=M6,"Max de répétitions et minimum 17",IF(B26=M7,"Max de répétitions et minimum 20",IF(B26=M8,"Max de répétitions et minimum 20",IF(B26=M9,"Max de répétitions et minimum 25",IF(B26=M10,"Max de répétitions et minimum 35",IF(B26=M11,"Max de répétitions et minimum 40",IF(B26=M12,"Max de répétitions et minimum 42",IF(B26=M13,"Max de répétitions et minimum 55",IF(B26=M14,"Max de répétitions et minimum 55",0))))))))))))</f>
        <v>0</v>
      </c>
      <c r="F51" s="68" t="s">
        <v>128</v>
      </c>
      <c r="G51" s="68" t="s">
        <v>128</v>
      </c>
      <c r="H51" s="68"/>
    </row>
    <row r="52" spans="1:8" x14ac:dyDescent="0.25">
      <c r="A52" s="79" t="s">
        <v>328</v>
      </c>
      <c r="B52" s="68">
        <f>IF(B27=N3,"2",IF(B27=N4,"3",IF(B27=N5,"2",IF(B27=N6,"3",IF(B27=N7,6,IF(B27=N8,8,IF(B27=N9,12,IF(B27=N10,16,IF(B27=N11,20,IF(B27=N12,23,IF(B27=N13,25,0)))))))))))</f>
        <v>0</v>
      </c>
      <c r="C52" s="68">
        <f>IF(B27=N3,"3",IF(B27=N4,"2",IF(B27=N5,"3",IF(B27=N6,"5",IF(B27=N7,8,IF(B27=N8,11,IF(B27=N9,16,IF(B27=N10,18,IF(B27=N11,25,IF(B27=N12,27,IF(B27=N13,28,0)))))))))))</f>
        <v>0</v>
      </c>
      <c r="D52" s="68">
        <f>IF(B27=N3,"2",IF(B27=N4,"3",IF(B27=N5,"2",IF(B27=N6,"3",IF(B27=N7,6,IF(B27=N8,8,IF(B27=N9,12,IF(B27=N10,15,IF(B27=N11,19,IF(B27=N12,22,IF(B27=N13,24,0)))))))))))</f>
        <v>0</v>
      </c>
      <c r="E52" s="68">
        <f>IF(B27=N3,"Max de répétitions",IF(B27=N4,"Max de répétitions",IF(B27=N5,"Max de répétitions et minimum 3",IF(B27=N6,"Max de répétitions et minimum 4",IF(B27=N7,"Max de répétitions et minimum 7",IF(B27=N8,"Max de répétitions et minimum 9",IF(B27=N9,"Max de répétitions et minimum 13",IF(B27=N10,"Max de répétitions et minimum 16",IF(B27=N11,"Max de répétitions et minimum 20",IF(B27=N12,"Max de répétitions et minimum 21",IF(B27=N13,"Max de répétitions et minimum 25",0)))))))))))</f>
        <v>0</v>
      </c>
      <c r="F52" s="68" t="s">
        <v>128</v>
      </c>
      <c r="G52" s="68" t="s">
        <v>128</v>
      </c>
      <c r="H52" s="68"/>
    </row>
    <row r="53" spans="1:8" ht="15.75" thickBot="1" x14ac:dyDescent="0.3">
      <c r="A53" s="268" t="s">
        <v>327</v>
      </c>
      <c r="B53" s="68">
        <f>IF(B28=N3,"2",IF(B28=N4,"3",IF(B28=N5,"2",IF(B28=N6,"3",IF(B28=N7,6,IF(B28=N8,8,IF(B28=N9,12,IF(B28=N10,16,IF(B28=N11,20,IF(B28=N12,23,IF(B28=N13,25,0)))))))))))</f>
        <v>0</v>
      </c>
      <c r="C53" s="68">
        <f>IF(B28=N3,"3",IF(B28=N4,"2",IF(B28=N5,"3",IF(B28=N6,"5",IF(B28=N7,8,IF(B28=N8,11,IF(B28=N9,16,IF(B28=N10,18,IF(B28=N11,25,IF(B28=N12,27,IF(B28=N13,28,0)))))))))))</f>
        <v>0</v>
      </c>
      <c r="D53" s="68">
        <f>IF(B28=N3,"Max de répétitions",IF(B28=N4,"Max de répétitions",IF(B28=N5,"Max de répétitions et minimum 3",IF(B28=N6,"Max de répétitions et minimum 4",IF(B28=N7,"Max de répétitions et minimum 7",IF(B28=N8,"Max de répétitions et minimum 9",IF(B28=N9,"Max de répétitions et minimum 13",IF(B28=N10,"Max de répétitions et minimum 16",IF(B28=N11,"Max de répétitions et minimum 20",IF(B28=N12,"Max de répétitions et minimum 21",IF(B28=N13,"Max de répétitions et minimum 25",0)))))))))))</f>
        <v>0</v>
      </c>
      <c r="E53" s="112"/>
      <c r="F53" s="68" t="s">
        <v>128</v>
      </c>
      <c r="G53" s="112"/>
      <c r="H53" s="68"/>
    </row>
    <row r="54" spans="1:8" x14ac:dyDescent="0.25">
      <c r="A54" s="263"/>
      <c r="B54" s="266"/>
      <c r="C54" s="266"/>
      <c r="D54" s="266"/>
      <c r="E54" s="266"/>
      <c r="F54" s="267"/>
      <c r="G54" s="267"/>
      <c r="H54" s="266"/>
    </row>
    <row r="55" spans="1:8" ht="15.75" thickBot="1" x14ac:dyDescent="0.3">
      <c r="A55" s="214" t="s">
        <v>403</v>
      </c>
      <c r="B55" s="215"/>
      <c r="C55" s="215"/>
      <c r="D55" s="215"/>
      <c r="E55" s="215"/>
      <c r="F55" s="215"/>
      <c r="G55" s="215"/>
      <c r="H55" s="215"/>
    </row>
    <row r="56" spans="1:8" x14ac:dyDescent="0.25">
      <c r="A56" s="72" t="s">
        <v>395</v>
      </c>
      <c r="B56" s="208" t="s">
        <v>324</v>
      </c>
      <c r="C56" s="209"/>
      <c r="D56" s="209"/>
      <c r="E56" s="209"/>
      <c r="H56" s="147" t="s">
        <v>325</v>
      </c>
    </row>
    <row r="57" spans="1:8" x14ac:dyDescent="0.25">
      <c r="A57" s="73" t="s">
        <v>2</v>
      </c>
      <c r="B57" s="74" t="s">
        <v>3</v>
      </c>
      <c r="C57" s="74" t="s">
        <v>4</v>
      </c>
      <c r="D57" s="74" t="s">
        <v>5</v>
      </c>
      <c r="E57" s="74" t="s">
        <v>6</v>
      </c>
      <c r="F57" s="74" t="s">
        <v>124</v>
      </c>
      <c r="G57" s="74" t="s">
        <v>125</v>
      </c>
      <c r="H57" s="74" t="s">
        <v>123</v>
      </c>
    </row>
    <row r="58" spans="1:8" x14ac:dyDescent="0.25">
      <c r="A58" s="248" t="s">
        <v>399</v>
      </c>
      <c r="B58" s="65">
        <f>IF(B10=M3,"3",IF(B10=M4,"6",IF(B10=M5,"9",IF(B10=M6,"14",IF(B10=M7,20,IF(B10=M8,10,IF(B10=M9,10,IF(B10=M10,19,IF(B10=M11,19,IF(B10=M12,20,IF(B10=M13,22,IF(B10=M14,22,0))))))))))))</f>
        <v>0</v>
      </c>
      <c r="C58" s="65">
        <f>IF(B10=M3,"4",IF(B10=M4,"7",IF(B10=M5,"10",IF(B10=M6,"19",IF(B10=M7,25,IF(B10=M8,13,IF(B10=M9,15,IF(B10=M10,22,IF(B10=M11,23,IF(B10=M12,23,IF(B10=M13,27,IF(B10=M14,30,0))))))))))))</f>
        <v>0</v>
      </c>
      <c r="D58" s="65">
        <f>IF(B10=M3,"2",IF(B10=M4,"6",IF(B10=M5,"8",IF(B10=M6,"14",IF(B10=M7,15,IF(B10=M8,10,IF(B10=M9,18,IF(B10=M10,18,IF(B10=M11,19,IF(B10=M12,20,IF(B10=M13,24,IF(B10=M14,24,0))))))))))))</f>
        <v>0</v>
      </c>
      <c r="E58" s="65">
        <f>IF(B10=M3,"Max de répétitions et minimum 4",IF(B10=M4,"Max de répétitions et minimum 7",IF(B10=M5,"Max de répétitions et minimum 10",IF(B10=M6,"Max de répétitions et minimum 19",IF(B10=M7,"Max de répétitions et minimum 23",IF(B10=M8,"Max de répétitions et minimum 25",IF(B10=M9,"Max de répétitions et minimum 30",IF(B10=M10,"Max de répétitions et minimum 35",IF(B10=M11,"Max de répétitions et minimum 37",IF(B10=M12,"Max de répétitions et minimum 53",IF(B10=M13,"Max de répétitions et minimum 58",IF(B10=M14,"Max de répétitions et minimum 59",0))))))))))))</f>
        <v>0</v>
      </c>
      <c r="F58" s="68" t="s">
        <v>131</v>
      </c>
      <c r="G58" s="68" t="s">
        <v>131</v>
      </c>
      <c r="H58" s="67"/>
    </row>
    <row r="59" spans="1:8" x14ac:dyDescent="0.25">
      <c r="A59" s="79" t="s">
        <v>157</v>
      </c>
      <c r="B59" s="68">
        <f>IF(B11=N3,"3",IF(B11=N4,"3",IF(B11=N5,"2",IF(B11=N6,"4",IF(B11=N7,6,IF(B11=N8,9,IF(B11=N9,13,IF(B11=N10,16,IF(B11=N11,22,IF(B11=N12,24,IF(B11=N13,25,0)))))))))))</f>
        <v>0</v>
      </c>
      <c r="C59" s="68">
        <f>IF(B11=N3,"3",IF(B11=N4,"4",IF(B11=N5,"3",IF(B11=N6,"6",IF(B11=N7,9,IF(B11=N8,12,IF(B11=N9,16,IF(B11=N10,20,IF(B11=N11,25,IF(B11=N12,28,IF(B11=N13,29,0)))))))))))</f>
        <v>0</v>
      </c>
      <c r="D59" s="68">
        <f>IF(B11=N3,"2",IF(B11=N4,"3",IF(B11=N5,"2",IF(B11=N6,"4",IF(B11=N7,6,IF(B11=N8,9,IF(B11=N9,12,IF(B11=N10,16,IF(B11=N11,21,IF(B11=N12,24,IF(B11=N13,25,0)))))))))))</f>
        <v>0</v>
      </c>
      <c r="E59" s="68">
        <f>IF(B11=N3,"Max de répétitions",IF(B11=N4,"Max de répétitions",IF(B11=N5,"Max de répétitions et minimum 4",IF(B11=N6,"Max de répétitions et minimum 6",IF(B11=N7,"Max de répétitions et minimum 9",IF(B11=N8,"Max de répétitions et minimum 11",IF(B11=N9,"Max de répétitions et minimum 16",IF(B11=N10,"Max de répétitions et minimum 19",IF(B11=N11,"Max de répétitions et minimum 25",IF(B11=N12,"Max de répétitions et minimum 28",IF(B11=N13,"Max de répétitions et minimum 28",0)))))))))))</f>
        <v>0</v>
      </c>
      <c r="F59" s="68" t="s">
        <v>131</v>
      </c>
      <c r="G59" s="68" t="s">
        <v>131</v>
      </c>
      <c r="H59" s="69"/>
    </row>
    <row r="60" spans="1:8" x14ac:dyDescent="0.25">
      <c r="A60" s="79" t="s">
        <v>400</v>
      </c>
      <c r="B60" s="68">
        <v>9</v>
      </c>
      <c r="C60" s="68">
        <v>9</v>
      </c>
      <c r="D60" s="68">
        <v>9</v>
      </c>
      <c r="E60" s="265">
        <v>9</v>
      </c>
      <c r="F60" s="68" t="s">
        <v>131</v>
      </c>
      <c r="G60" s="68" t="s">
        <v>131</v>
      </c>
      <c r="H60" s="69"/>
    </row>
    <row r="61" spans="1:8" x14ac:dyDescent="0.25">
      <c r="A61" s="246" t="s">
        <v>394</v>
      </c>
      <c r="B61" s="68">
        <f>IF(B13=N3,"3",IF(B13=N4,"3",IF(B13=N5,"2",IF(B13=N6,"4",IF(B13=N7,6,IF(B13=N8,9,IF(B13=N9,13,IF(B13=N10,16,IF(B13=N11,22,IF(B13=N12,24,IF(B13=N13,25,0)))))))))))</f>
        <v>0</v>
      </c>
      <c r="C61" s="68">
        <f>IF(B13=N3,"3",IF(B13=N4,"4",IF(B13=N5,"3",IF(B13=N6,"6",IF(B13=N7,9,IF(B13=N8,12,IF(B13=N9,16,IF(B13=N10,20,IF(B13=N11,25,IF(B13=N12,28,IF(B13=N13,29,0)))))))))))</f>
        <v>0</v>
      </c>
      <c r="D61" s="68">
        <f>IF(B13=N3,"2",IF(B13=N4,"3",IF(B13=N5,"2",IF(B13=N6,"4",IF(B13=N7,6,IF(B13=N8,9,IF(B13=N9,12,IF(B13=N10,16,IF(B13=N11,21,IF(B13=N12,24,IF(B13=N13,25,0)))))))))))</f>
        <v>0</v>
      </c>
      <c r="E61" s="265">
        <f>IF(B13=N3,"Max de répétitions",IF(B13=N4,"Max de répétitions",IF(B13=N5,"Max de répétitions et minimum 4",IF(B13=N6,"Max de répétitions et minimum 6",IF(B13=N7,"Max de répétitions et minimum 9",IF(B13=N8,"Max de répétitions et minimum 11",IF(B13=N9,"Max de répétitions et minimum 16",IF(B13=N10,"Max de répétitions et minimum 19",IF(B13=N11,"Max de répétitions et minimum 25",IF(B13=N12,"Max de répétitions et minimum 28",IF(B13=N13,"Max de répétitions et minimum 28",0)))))))))))</f>
        <v>0</v>
      </c>
      <c r="F61" s="68" t="s">
        <v>131</v>
      </c>
      <c r="G61" s="68" t="s">
        <v>131</v>
      </c>
      <c r="H61" s="70"/>
    </row>
    <row r="62" spans="1:8" x14ac:dyDescent="0.25">
      <c r="A62" s="79" t="s">
        <v>380</v>
      </c>
      <c r="B62" s="68">
        <v>9</v>
      </c>
      <c r="C62" s="68">
        <v>9</v>
      </c>
      <c r="D62" s="68">
        <v>9</v>
      </c>
      <c r="E62" s="112"/>
      <c r="F62" s="68" t="s">
        <v>131</v>
      </c>
      <c r="G62" s="112"/>
      <c r="H62" s="70"/>
    </row>
    <row r="63" spans="1:8" x14ac:dyDescent="0.25">
      <c r="A63" s="214" t="s">
        <v>140</v>
      </c>
      <c r="B63" s="215"/>
      <c r="C63" s="215"/>
      <c r="D63" s="215"/>
      <c r="E63" s="215"/>
      <c r="F63" s="215"/>
      <c r="G63" s="215"/>
      <c r="H63" s="215"/>
    </row>
    <row r="64" spans="1:8" ht="15.75" thickBot="1" x14ac:dyDescent="0.3">
      <c r="A64" s="213" t="s">
        <v>141</v>
      </c>
      <c r="B64" s="213"/>
      <c r="C64" s="213"/>
      <c r="D64" s="213"/>
      <c r="E64" s="213"/>
      <c r="F64" s="213"/>
      <c r="G64" s="213"/>
      <c r="H64" s="213"/>
    </row>
    <row r="65" spans="1:8" x14ac:dyDescent="0.25">
      <c r="A65" s="72" t="s">
        <v>386</v>
      </c>
      <c r="B65" s="208" t="s">
        <v>324</v>
      </c>
      <c r="C65" s="209"/>
      <c r="D65" s="209"/>
      <c r="E65" s="209"/>
      <c r="H65" s="147" t="s">
        <v>325</v>
      </c>
    </row>
    <row r="66" spans="1:8" x14ac:dyDescent="0.25">
      <c r="A66" s="73" t="s">
        <v>2</v>
      </c>
      <c r="B66" s="74" t="s">
        <v>3</v>
      </c>
      <c r="C66" s="74" t="s">
        <v>4</v>
      </c>
      <c r="D66" s="74" t="s">
        <v>5</v>
      </c>
      <c r="E66" s="74" t="s">
        <v>6</v>
      </c>
      <c r="F66" s="74" t="s">
        <v>124</v>
      </c>
      <c r="G66" s="74" t="s">
        <v>125</v>
      </c>
      <c r="H66" s="74" t="s">
        <v>123</v>
      </c>
    </row>
    <row r="67" spans="1:8" x14ac:dyDescent="0.25">
      <c r="A67" s="248" t="s">
        <v>399</v>
      </c>
      <c r="B67" s="65">
        <f>IF(B10=M3,"4",IF(B10=M4,"8",IF(B10=M5,"11",IF(B10=M6,"16",IF(B10=M7,20,IF(B10=M8,13,IF(B10=M9,18,IF(B10=M10,20,IF(B10=M11,20,IF(B10=M12,22,IF(B10=M13,26,IF(B10=M14,28,0))))))))))))</f>
        <v>0</v>
      </c>
      <c r="C67" s="65">
        <f>IF(B10=M3,"5",IF(B10=M4,"10",IF(B10=M5,"13",IF(B10=M6,"21",IF(B10=M7,27,IF(B10=M8,13,IF(B10=M9,20,IF(B10=M10,24,IF(B10=M11,27,IF(B10=M12,30,IF(B10=M13,33,IF(B10=M14,35,0))))))))))))</f>
        <v>0</v>
      </c>
      <c r="D67" s="65">
        <f>IF(B10=M3,"4",IF(B10=M4,"7",IF(B10=M5,"9",IF(B10=M6,"15",IF(B10=M7,18,IF(B10=M8,15,IF(B10=M9,17,IF(B10=M10,20,IF(B10=M11,21,IF(B10=M12,22,IF(B10=M13,23,IF(B10=M14,25,0))))))))))))</f>
        <v>0</v>
      </c>
      <c r="E67" s="65">
        <f>IF(B10=M3,"Max de répétitions et minimum 5",IF(B10=M4,"Max de répétitions et minimum 10",IF(B10=M5,"Max de répétitions et minimum 13",IF(B10=M6,"Max de répétitions et minimum 21",IF(B10=M7,"Max de répétitions et minimum 25",IF(B10=M8,"Max de répétitions et minimum 30",IF(B10=M9,"Max de répétitions et minimum 35",IF(B10=M10,"Max de répétitions et minimum 40",IF(B10=M11,"Max de répétitions et minimum 44",IF(B10=M12,"Max de répétitions et minimum 55",IF(B10=M13,"Max de répétitions et minimum 60",IF(B10=M14,"Max de répétitions et minimum 60",0))))))))))))</f>
        <v>0</v>
      </c>
      <c r="F67" s="68" t="s">
        <v>131</v>
      </c>
      <c r="G67" s="68" t="s">
        <v>131</v>
      </c>
      <c r="H67" s="67"/>
    </row>
    <row r="68" spans="1:8" x14ac:dyDescent="0.25">
      <c r="A68" s="79" t="s">
        <v>157</v>
      </c>
      <c r="B68" s="68">
        <f>IF(B11=N3,"4",IF(B11=N4,"6",IF(B11=N5,"3",IF(B11=N6,"5",IF(B11=N7,7,IF(B11=N8,9,IF(B11=N9,13,IF(B11=N10,17,IF(B11=N11,23,IF(B11=N12,25,IF(B11=N13,25,0)))))))))))</f>
        <v>0</v>
      </c>
      <c r="C68" s="68">
        <f>IF(B11=N3,"4",IF(B11=N4,"5",IF(B11=N5,"4",IF(B11=N6,"7",IF(B11=N7,10,IF(B11=N8,13,IF(B11=N9,16,IF(B11=N10,21,IF(B11=N11,26,IF(B11=N12,29,IF(B11=N13,30,0)))))))))))</f>
        <v>0</v>
      </c>
      <c r="D68" s="68">
        <f>IF(B11=N3,"3",IF(B11=N4,"4",IF(B11=N5,"2",IF(B11=N6,"5",IF(B11=N7,6,IF(B11=N8,9,IF(B11=N9,12,IF(B11=N10,16,IF(B11=N11,23,IF(B11=N12,24,IF(B11=N13,25,0)))))))))))</f>
        <v>0</v>
      </c>
      <c r="E68" s="68">
        <f>IF(B11=N3,"Max de répétitions",IF(B11=N4,"Max de répétitions",IF(B11=N5,"Max de répétitions et minimum 4",IF(B11=N6,"Max de répétitions et minimum 6",IF(B11=N7,"Max de répétitions et minimum 9",IF(B11=N8,"Max de répétitions et minimum 12",IF(B11=N9,"Max de répétitions et minimum 16",IF(B11=N10,"Max de répétitions et minimum 20",IF(B11=N11,"Max de répétitions et minimum 25",IF(B11=N12,"Max de répétitions et minimum 29",IF(B11=N13,"Max de répétitions et minimum 29",0)))))))))))</f>
        <v>0</v>
      </c>
      <c r="F68" s="68" t="s">
        <v>131</v>
      </c>
      <c r="G68" s="68" t="s">
        <v>131</v>
      </c>
      <c r="H68" s="69"/>
    </row>
    <row r="69" spans="1:8" x14ac:dyDescent="0.25">
      <c r="A69" s="79" t="s">
        <v>400</v>
      </c>
      <c r="B69" s="68">
        <v>10</v>
      </c>
      <c r="C69" s="68">
        <v>10</v>
      </c>
      <c r="D69" s="68">
        <v>10</v>
      </c>
      <c r="E69" s="265">
        <v>10</v>
      </c>
      <c r="F69" s="68" t="s">
        <v>131</v>
      </c>
      <c r="G69" s="68" t="s">
        <v>131</v>
      </c>
      <c r="H69" s="69"/>
    </row>
    <row r="70" spans="1:8" x14ac:dyDescent="0.25">
      <c r="A70" s="246" t="s">
        <v>394</v>
      </c>
      <c r="B70" s="68">
        <f>IF(B13=N3,"4",IF(B13=N4,"6",IF(B13=N5,"3",IF(B13=N6,"5",IF(B13=N7,7,IF(B13=N8,9,IF(B13=N9,13,IF(B13=N10,17,IF(B13=N11,23,IF(B13=N12,25,IF(B13=N13,25,0)))))))))))</f>
        <v>0</v>
      </c>
      <c r="C70" s="68">
        <f>IF(B13=N3,"4",IF(B13=N4,"5",IF(B13=N5,"4",IF(B13=N6,"7",IF(B13=N7,10,IF(B13=N8,13,IF(B13=N9,16,IF(B13=N10,21,IF(B13=N11,26,IF(B13=N12,29,IF(B13=N13,30,0)))))))))))</f>
        <v>0</v>
      </c>
      <c r="D70" s="68">
        <f>IF(B13=N3,"3",IF(B13=N4,"4",IF(B13=N5,"2",IF(B13=N6,"5",IF(B13=N7,6,IF(B13=N8,9,IF(B13=N9,12,IF(B13=N10,16,IF(B13=N11,23,IF(B13=N12,24,IF(B13=N13,25,0)))))))))))</f>
        <v>0</v>
      </c>
      <c r="E70" s="265">
        <f>IF(B13=N3,"Max de répétitions",IF(B13=N4,"Max de répétitions",IF(B13=N5,"Max de répétitions et minimum 4",IF(B13=N6,"Max de répétitions et minimum 6",IF(B13=N7,"Max de répétitions et minimum 9",IF(B13=N8,"Max de répétitions et minimum 12",IF(B13=N9,"Max de répétitions et minimum 16",IF(B13=N10,"Max de répétitions et minimum 20",IF(B13=N11,"Max de répétitions et minimum 25",IF(B13=N12,"Max de répétitions et minimum 29",IF(B13=N13,"Max de répétitions et minimum 29",0)))))))))))</f>
        <v>0</v>
      </c>
      <c r="F70" s="68" t="s">
        <v>131</v>
      </c>
      <c r="G70" s="68" t="s">
        <v>131</v>
      </c>
      <c r="H70" s="70"/>
    </row>
    <row r="71" spans="1:8" ht="15.75" thickBot="1" x14ac:dyDescent="0.3">
      <c r="A71" s="79" t="s">
        <v>380</v>
      </c>
      <c r="B71" s="68">
        <v>10</v>
      </c>
      <c r="C71" s="68">
        <v>10</v>
      </c>
      <c r="D71" s="68">
        <v>10</v>
      </c>
      <c r="E71" s="112"/>
      <c r="F71" s="68" t="s">
        <v>131</v>
      </c>
      <c r="G71" s="112"/>
      <c r="H71" s="70"/>
    </row>
    <row r="72" spans="1:8" x14ac:dyDescent="0.25">
      <c r="A72" s="72" t="s">
        <v>384</v>
      </c>
      <c r="B72" s="208" t="s">
        <v>324</v>
      </c>
      <c r="C72" s="209"/>
      <c r="D72" s="209"/>
      <c r="E72" s="209"/>
      <c r="H72" s="147" t="s">
        <v>325</v>
      </c>
    </row>
    <row r="73" spans="1:8" x14ac:dyDescent="0.25">
      <c r="A73" s="73" t="s">
        <v>2</v>
      </c>
      <c r="B73" s="74" t="s">
        <v>3</v>
      </c>
      <c r="C73" s="74" t="s">
        <v>4</v>
      </c>
      <c r="D73" s="74" t="s">
        <v>5</v>
      </c>
      <c r="E73" s="74" t="s">
        <v>6</v>
      </c>
      <c r="F73" s="74" t="s">
        <v>124</v>
      </c>
      <c r="G73" s="74" t="s">
        <v>125</v>
      </c>
      <c r="H73" s="74" t="s">
        <v>123</v>
      </c>
    </row>
    <row r="74" spans="1:8" x14ac:dyDescent="0.25">
      <c r="A74" s="79" t="s">
        <v>302</v>
      </c>
      <c r="B74" s="65">
        <f>IF(B17=O3,"6",IF(B17=O4,"10",IF(B17=O5,"16",IF(B17=O6,"22",IF(B17=O7,26,IF(B17=O8,32,IF(B17=O9,40,IF(B17=O10,44,IF(B17=O11,50,IF(B17=O12,54,IF(B17=O13,50,IF(B17=O14,50,IF(B17=O15,58,IF(B17=O16,64,0))))))))))))))</f>
        <v>0</v>
      </c>
      <c r="C74" s="65">
        <f>IF(B17=O3,"6",IF(B17=O4,"10",IF(B17=O5,"14",IF(B17=O6,"22",IF(B17=O7,26,IF(B17=O8,32,IF(B17=O9,38,IF(B17=O10,44,IF(B17=O11,50,IF(B17=O12,54,IF(B17=O13,50,IF(B17=O14,52,IF(B17=O15,54,IF(B17=O16,64,0))))))))))))))</f>
        <v>0</v>
      </c>
      <c r="D74" s="65">
        <f>IF(B17=O3,"6",IF(B17=O4,"10",IF(B17=O5,"15",IF(B17=O6,"23",IF(B17=O7,27,IF(B17=O8,32,IF(B17=O9,38,IF(B17=O10,46,IF(B17=O11,50,IF(B17=O12,54,IF(B17=O13,42,IF(B17=O14,54,IF(B17=O15,57,IF(B17=O16,62,0))))))))))))))</f>
        <v>0</v>
      </c>
      <c r="E74" s="65">
        <f>IF(B17=O3,"Max de répétitions et minimum 8",IF(B17=O4,"Max de répétitions et minimum 10",IF(B17=O5,"Max de répétitions et minimum 18",IF(B17=O6,"Max de répétitions et minimum 24",IF(B17=O7,"Max de répétitions et minimum 28",IF(B17=O8,"Max de répétitions et minimum 34",IF(B17=O9,"Max de répétitions et minimum 40",IF(B17=O10,"Max de répétitions et minimum 46",IF(B17=O11,"Max de répétitions et minimum 52",IF(B17=O12,"Max de répétitions et minimum 60",IF(B17=O13,"Max de répétitions et minimum 44",IF(B17=O14,"Max de répétitions et minimum 56",IF(B17=O15,"Max de répétitions et minimum 60",IF(B17=O16,"Max de répétitions et minimum 64",0))))))))))))))</f>
        <v>0</v>
      </c>
      <c r="F74" s="68" t="s">
        <v>128</v>
      </c>
      <c r="G74" s="68" t="s">
        <v>127</v>
      </c>
      <c r="H74" s="67" t="s">
        <v>387</v>
      </c>
    </row>
    <row r="75" spans="1:8" x14ac:dyDescent="0.25">
      <c r="A75" s="79" t="s">
        <v>166</v>
      </c>
      <c r="B75" s="68">
        <f>IF(B18=N3,"3",IF(B18=N4,"3",IF(B18=N5,"2",IF(B18=N6,"4",IF(B18=N7,6,IF(B18=N8,9,IF(B18=N9,13,IF(B18=N10,16,IF(B18=N11,22,IF(B18=N12,24,IF(B18=N13,25,0)))))))))))</f>
        <v>0</v>
      </c>
      <c r="C75" s="68">
        <f>IF(B18=N3,"3",IF(B18=N4,"4",IF(B18=N5,"3",IF(B18=N6,"6",IF(B18=N7,9,IF(B18=N8,12,IF(B18=N9,16,IF(B18=N10,20,IF(B18=N11,25,IF(B18=N12,28,IF(B18=N13,29,0)))))))))))</f>
        <v>0</v>
      </c>
      <c r="D75" s="68">
        <f>IF(B18=N3,"2",IF(B18=N4,"3",IF(B18=N5,"2",IF(B18=N6,"4",IF(B18=N7,6,IF(B18=N8,9,IF(B18=N9,12,IF(B18=N10,16,IF(B18=N11,21,IF(B18=N12,24,IF(B18=N13,25,0)))))))))))</f>
        <v>0</v>
      </c>
      <c r="E75" s="68">
        <f>IF(B18=N3,"Max de répétitions",IF(B18=N4,"Max de répétitions",IF(B18=N5,"Max de répétitions et minimum 4",IF(B18=N6,"Max de répétitions et minimum 6",IF(B18=N7,"Max de répétitions et minimum 9",IF(B18=N8,"Max de répétitions et minimum 11",IF(B18=N9,"Max de répétitions et minimum 16",IF(B18=N10,"Max de répétitions et minimum 19",IF(B18=N11,"Max de répétitions et minimum 25",IF(B18=N12,"Max de répétitions et minimum 28",IF(B18=N13,"Max de répétitions et minimum 28",0)))))))))))</f>
        <v>0</v>
      </c>
      <c r="F75" s="68" t="s">
        <v>130</v>
      </c>
      <c r="G75" s="68" t="s">
        <v>128</v>
      </c>
      <c r="H75" s="69"/>
    </row>
    <row r="76" spans="1:8" x14ac:dyDescent="0.25">
      <c r="A76" s="79" t="s">
        <v>174</v>
      </c>
      <c r="B76" s="68">
        <f>IF(B19=N3,"3",IF(B19=N4,"3",IF(B19=N5,"2",IF(B19=N6,"4",IF(B19=N7,6,IF(B19=N8,9,IF(B19=N9,13,IF(B19=N10,16,IF(B19=N11,22,IF(B19=N12,24,IF(B19=N13,25,0)))))))))))</f>
        <v>0</v>
      </c>
      <c r="C76" s="68">
        <f>IF(B19=N3,"3",IF(B19=N4,"4",IF(B19=N5,"3",IF(B19=N6,"6",IF(B19=N7,9,IF(B19=N8,12,IF(B19=N9,16,IF(B19=N10,20,IF(B19=N11,25,IF(B19=N12,28,IF(B19=N13,29,0)))))))))))</f>
        <v>0</v>
      </c>
      <c r="D76" s="68">
        <f>IF(B19=N3,"2",IF(B19=N4,"3",IF(B19=N5,"2",IF(B19=N6,"4",IF(B19=N7,6,IF(B19=N8,9,IF(B19=N9,12,IF(B19=N10,16,IF(B19=N11,21,IF(B19=N12,24,IF(B19=N13,25,0)))))))))))</f>
        <v>0</v>
      </c>
      <c r="E76" s="68">
        <f>IF(B19=N3,"Max de répétitions",IF(B19=N4,"Max de répétitions",IF(B19=N5,"Max de répétitions et minimum 4",IF(B19=N6,"Max de répétitions et minimum 6",IF(B19=N7,"Max de répétitions et minimum 9",IF(B19=N8,"Max de répétitions et minimum 11",IF(B19=N9,"Max de répétitions et minimum 16",IF(B19=N10,"Max de répétitions et minimum 19",IF(B19=N11,"Max de répétitions et minimum 25",IF(B19=N12,"Max de répétitions et minimum 28",IF(B19=N13,"Max de répétitions et minimum 28",0)))))))))))</f>
        <v>0</v>
      </c>
      <c r="F76" s="68" t="s">
        <v>130</v>
      </c>
      <c r="G76" s="68" t="s">
        <v>128</v>
      </c>
      <c r="H76" s="69"/>
    </row>
    <row r="77" spans="1:8" x14ac:dyDescent="0.25">
      <c r="A77" s="79" t="s">
        <v>171</v>
      </c>
      <c r="B77" s="68">
        <f>IF(B20=M3,"3",IF(B20=M4,"6",IF(B20=M5,"9",IF(B20=M6,"14",IF(B20=M7,20,IF(B20=M8,10,IF(B20=M9,10,IF(B20=M10,19,IF(B20=M11,19,IF(B20=M12,20,IF(B20=M13,22,IF(B20=M14,22,0))))))))))))</f>
        <v>0</v>
      </c>
      <c r="C77" s="68">
        <f>IF(B20=M3,"4",IF(B20=M4,"7",IF(B20=M5,"10",IF(B20=M6,"19",IF(B20=M7,25,IF(B20=M8,13,IF(B20=M9,15,IF(B20=M10,22,IF(B20=M11,23,IF(B20=M12,23,IF(B20=M13,27,IF(B20=M14,30,0))))))))))))</f>
        <v>0</v>
      </c>
      <c r="D77" s="68">
        <f>IF(B20=M3,"Max de répétitions et minimum 4",IF(B20=M4,"Max de répétitions et minimum 7",IF(B20=M5,"Max de répétitions et minimum 10",IF(B20=M6,"Max de répétitions et minimum 19",IF(B20=M7,"Max de répétitions et minimum 23",IF(B20=M8,"Max de répétitions et minimum 25",IF(B20=M9,"Max de répétitions et minimum 30",IF(B20=M10,"Max de répétitions et minimum 35",IF(B20=M11,"Max de répétitions et minimum 37",IF(B20=M12,"Max de répétitions et minimum 53",IF(B20=M13,"Max de répétitions et minimum 58",IF(B20=M14,"Max de répétitions et minimum 59",0))))))))))))</f>
        <v>0</v>
      </c>
      <c r="E77" s="112"/>
      <c r="F77" s="68" t="s">
        <v>173</v>
      </c>
      <c r="G77" s="68" t="s">
        <v>131</v>
      </c>
      <c r="H77" s="70"/>
    </row>
    <row r="78" spans="1:8" x14ac:dyDescent="0.25">
      <c r="A78" s="79" t="s">
        <v>161</v>
      </c>
      <c r="B78" s="68">
        <f>IF(B21=N3,"3",IF(B21=N4,"3",IF(B21=N5,"2",IF(B21=N6,"4",IF(B21=N7,6,IF(B21=N8,9,IF(B21=N9,13,IF(B21=N10,16,IF(B21=N11,22,IF(B21=N12,24,IF(B21=N13,25,0)))))))))))</f>
        <v>0</v>
      </c>
      <c r="C78" s="68">
        <f>IF(B21=N3,"3",IF(B21=N4,"4",IF(B21=N5,"3",IF(B21=N6,"6",IF(B21=N7,9,IF(B21=N8,12,IF(B21=N9,16,IF(B21=N10,20,IF(B21=N11,25,IF(B21=N12,28,IF(B21=N13,29,0)))))))))))</f>
        <v>0</v>
      </c>
      <c r="D78" s="68">
        <f>IF(B21=N3,"Max de répétitions",IF(B21=N4,"Max de répétitions",IF(B21=N5,"Max de répétitions et minimum 4",IF(B21=N6,"Max de répétitions et minimum 6",IF(B21=N7,"Max de répétitions et minimum 9",IF(B21=N8,"Max de répétitions et minimum 11",IF(B21=N9,"Max de répétitions et minimum 16",IF(B21=N10,"Max de répétitions et minimum 19",IF(B21=N11,"Max de répétitions et minimum 25",IF(B21=N12,"Max de répétitions et minimum 28",IF(B21=N13,"Max de répétitions et minimum 28",0)))))))))))</f>
        <v>0</v>
      </c>
      <c r="E78" s="112"/>
      <c r="F78" s="68" t="s">
        <v>131</v>
      </c>
      <c r="G78" s="112"/>
      <c r="H78" s="70"/>
    </row>
    <row r="79" spans="1:8" ht="15.75" thickBot="1" x14ac:dyDescent="0.3">
      <c r="A79" s="214" t="s">
        <v>152</v>
      </c>
      <c r="B79" s="215"/>
      <c r="C79" s="215"/>
      <c r="D79" s="215"/>
      <c r="E79" s="215"/>
      <c r="F79" s="215"/>
      <c r="G79" s="215"/>
      <c r="H79" s="215"/>
    </row>
    <row r="80" spans="1:8" x14ac:dyDescent="0.25">
      <c r="A80" s="72" t="s">
        <v>385</v>
      </c>
      <c r="B80" s="208" t="s">
        <v>324</v>
      </c>
      <c r="C80" s="209"/>
      <c r="D80" s="209"/>
      <c r="E80" s="209"/>
      <c r="H80" s="147" t="s">
        <v>325</v>
      </c>
    </row>
    <row r="81" spans="1:8" x14ac:dyDescent="0.25">
      <c r="A81" s="73" t="s">
        <v>2</v>
      </c>
      <c r="B81" s="74" t="s">
        <v>3</v>
      </c>
      <c r="C81" s="74" t="s">
        <v>4</v>
      </c>
      <c r="D81" s="74" t="s">
        <v>5</v>
      </c>
      <c r="E81" s="74" t="s">
        <v>6</v>
      </c>
      <c r="F81" s="74" t="s">
        <v>124</v>
      </c>
      <c r="G81" s="74" t="s">
        <v>125</v>
      </c>
      <c r="H81" s="74" t="s">
        <v>123</v>
      </c>
    </row>
    <row r="82" spans="1:8" x14ac:dyDescent="0.25">
      <c r="A82" s="86" t="s">
        <v>147</v>
      </c>
      <c r="B82" s="68">
        <f>IF(B24=M3,"3",IF(B24=M4,"6",IF(B24=M5,"9",IF(B24=M6,"14",IF(B24=M7,20,IF(B24=M8,10,IF(B24=M9,10,IF(B24=M10,19,IF(B24=M11,19,IF(B24=M12,20,IF(B24=M13,22,IF(B24=M14,22,0))))))))))))</f>
        <v>0</v>
      </c>
      <c r="C82" s="68">
        <f>IF(B24=M3,"4",IF(B24=M4,"7",IF(B24=M5,"10",IF(B24=M6,"19",IF(B24=M7,25,IF(B24=M8,13,IF(B24=M9,15,IF(B24=M10,22,IF(B24=M11,23,IF(B24=M12,23,IF(B24=M13,27,IF(B24=M14,30,0))))))))))))</f>
        <v>0</v>
      </c>
      <c r="D82" s="68">
        <f>IF(B24=M3,"2",IF(B24=M4,"6",IF(B24=M5,"8",IF(B24=M6,"14",IF(B24=M7,15,IF(B24=M8,10,IF(B24=M9,18,IF(B24=M10,18,IF(B24=M11,19,IF(B24=M12,20,IF(B24=M13,24,IF(B24=M14,24,0))))))))))))</f>
        <v>0</v>
      </c>
      <c r="E82" s="68">
        <f>IF(B24=M3,"Max de répétitions et minimum 4",IF(B24=M4,"Max de répétitions et minimum 7",IF(B24=M5,"Max de répétitions et minimum 10",IF(B24=M6,"Max de répétitions et minimum 19",IF(B24=M7,"Max de répétitions et minimum 23",IF(B24=M8,"Max de répétitions et minimum 25",IF(B24=M9,"Max de répétitions et minimum 30",IF(B24=M10,"Max de répétitions et minimum 35",IF(B24=M11,"Max de répétitions et minimum 37",IF(B24=M12,"Max de répétitions et minimum 53",IF(B24=M13,"Max de répétitions et minimum 58",IF(B24=M14,"Max de répétitions et minimum 59",0))))))))))))</f>
        <v>0</v>
      </c>
      <c r="F82" s="68" t="s">
        <v>128</v>
      </c>
      <c r="G82" s="68" t="s">
        <v>128</v>
      </c>
      <c r="H82" s="68"/>
    </row>
    <row r="83" spans="1:8" x14ac:dyDescent="0.25">
      <c r="A83" s="79" t="s">
        <v>155</v>
      </c>
      <c r="B83" s="68">
        <f>IF(B25=N3,"3",IF(B25=N4,"5",IF(B25=N5,"2",IF(B25=N6,"4",IF(B25=N7,6,IF(B25=N8,9,IF(B25=N9,13,IF(B25=N10,16,IF(B25=N11,22,IF(B25=N12,24,IF(B25=N13,25,0)))))))))))</f>
        <v>0</v>
      </c>
      <c r="C83" s="68">
        <f>IF(B25=N3,"8",IF(B25=N4,"9",IF(B25=N5,"3",IF(B25=N6,"6",IF(B25=N7,9,IF(B25=N8,12,IF(B25=N9,16,IF(B25=N10,20,IF(B25=N11,25,IF(B25=N12,28,IF(B25=N13,29,0)))))))))))</f>
        <v>0</v>
      </c>
      <c r="D83" s="68">
        <f>IF(B25=N3,"6",IF(B25=N4,"7",IF(B25=N5,"2",IF(B25=N6,"4",IF(B25=N7,6,IF(B25=N8,9,IF(B25=N9,12,IF(B25=N10,16,IF(B25=N11,21,IF(B25=N12,24,IF(B25=N13,25,0)))))))))))</f>
        <v>0</v>
      </c>
      <c r="E83" s="68">
        <f>IF(B25=N3,"6",IF(B25=N4,"7",IF(B25=N5,"Max de répétitions et minimum 4",IF(B25=N6,"Max de répétitions et minimum 6",IF(B25=N7,"Max de répétitions et minimum 9",IF(B25=N8,"Max de répétitions et minimum 11",IF(B25=N9,"Max de répétitions et minimum 16",IF(B25=N10,"Max de répétitions et minimum 19",IF(B25=N11,"Max de répétitions et minimum 25",IF(B25=N12,"Max de répétitions et minimum 28",IF(B25=N13,"Max de répétitions et minimum 28",0)))))))))))</f>
        <v>0</v>
      </c>
      <c r="F83" s="68" t="s">
        <v>128</v>
      </c>
      <c r="G83" s="68" t="s">
        <v>128</v>
      </c>
      <c r="H83" s="76" t="str">
        <f>IF(OR(B25=N3,B25=N4),"Toutes les répétitions en excentrique","")</f>
        <v/>
      </c>
    </row>
    <row r="84" spans="1:8" x14ac:dyDescent="0.25">
      <c r="A84" s="79" t="s">
        <v>7</v>
      </c>
      <c r="B84" s="68">
        <f>IF(B26=M3,"3",IF(B26=M4,"6",IF(B26=M5,"9",IF(B26=M6,"14",IF(B26=M7,20,IF(B26=M8,10,IF(B26=M9,10,IF(B26=M10,19,IF(B26=M11,19,IF(B26=M12,20,IF(B26=M13,22,IF(B26=M14,22,0))))))))))))</f>
        <v>0</v>
      </c>
      <c r="C84" s="68">
        <f>IF(B26=M3,"4",IF(B26=M4,"7",IF(B26=M5,"10",IF(B26=M6,"19",IF(B26=M7,25,IF(B26=M8,13,IF(B26=M9,15,IF(B26=M10,22,IF(B26=M11,23,IF(B26=M12,23,IF(B26=M13,27,IF(B26=M14,30,0))))))))))))</f>
        <v>0</v>
      </c>
      <c r="D84" s="68">
        <f>IF(B26=M3,"2",IF(B26=M4,"6",IF(B26=M5,"8",IF(B26=M6,"14",IF(B26=M7,15,IF(B26=M8,10,IF(B26=M9,18,IF(B26=M10,18,IF(B26=M11,19,IF(B26=M12,20,IF(B26=M13,24,IF(B26=M14,24,0))))))))))))</f>
        <v>0</v>
      </c>
      <c r="E84" s="68">
        <f>IF(B26=M3,"Max de répétitions et minimum 4",IF(B26=M4,"Max de répétitions et minimum 7",IF(B26=M5,"Max de répétitions et minimum 10",IF(B26=M6,"Max de répétitions et minimum 19",IF(B26=M7,"Max de répétitions et minimum 23",IF(B26=M8,"Max de répétitions et minimum 25",IF(B26=M9,"Max de répétitions et minimum 30",IF(B26=M10,"Max de répétitions et minimum 35",IF(B26=M11,"Max de répétitions et minimum 37",IF(B26=M12,"Max de répétitions et minimum 53",IF(B26=M13,"Max de répétitions et minimum 58",IF(B26=M14,"Max de répétitions et minimum 59",0))))))))))))</f>
        <v>0</v>
      </c>
      <c r="F84" s="68" t="s">
        <v>128</v>
      </c>
      <c r="G84" s="68" t="s">
        <v>128</v>
      </c>
      <c r="H84" s="68"/>
    </row>
    <row r="85" spans="1:8" x14ac:dyDescent="0.25">
      <c r="A85" s="79" t="s">
        <v>328</v>
      </c>
      <c r="B85" s="68">
        <f>IF(B27=N3,"3",IF(B27=N4,"3",IF(B27=N5,"2",IF(B27=N6,"4",IF(B27=N7,6,IF(B27=N8,9,IF(B27=N9,13,IF(B27=N10,16,IF(B27=N11,22,IF(B27=N12,24,IF(B27=N13,25,0)))))))))))</f>
        <v>0</v>
      </c>
      <c r="C85" s="68">
        <f>IF(B27=N3,"3",IF(B27=N4,"4",IF(B27=N5,"3",IF(B27=N6,"6",IF(B27=N7,9,IF(B27=N8,12,IF(B27=N9,16,IF(B27=N10,20,IF(B27=N11,25,IF(B27=N12,28,IF(B27=N13,29,0)))))))))))</f>
        <v>0</v>
      </c>
      <c r="D85" s="68">
        <f>IF(B27=N3,"2",IF(B27=N4,"3",IF(B27=N5,"2",IF(B27=N6,"4",IF(B27=N7,6,IF(B27=N8,9,IF(B27=N9,12,IF(B27=N10,16,IF(B27=N11,21,IF(B27=N12,24,IF(B27=N13,25,0)))))))))))</f>
        <v>0</v>
      </c>
      <c r="E85" s="68">
        <f>IF(B27=N3,"Max de répétitions",IF(B27=N4,"Max de répétitions",IF(B27=N5,"Max de répétitions et minimum 4",IF(B27=N6,"Max de répétitions et minimum 6",IF(B27=N7,"Max de répétitions et minimum 9",IF(B27=N8,"Max de répétitions et minimum 11",IF(B27=N9,"Max de répétitions et minimum 16",IF(B27=N10,"Max de répétitions et minimum 19",IF(B27=N11,"Max de répétitions et minimum 25",IF(B27=N12,"Max de répétitions et minimum 28",IF(B27=N13,"Max de répétitions et minimum 28",0)))))))))))</f>
        <v>0</v>
      </c>
      <c r="F85" s="68" t="s">
        <v>128</v>
      </c>
      <c r="G85" s="68" t="s">
        <v>128</v>
      </c>
      <c r="H85" s="68"/>
    </row>
    <row r="86" spans="1:8" ht="15.75" thickBot="1" x14ac:dyDescent="0.3">
      <c r="A86" s="268" t="s">
        <v>327</v>
      </c>
      <c r="B86" s="68">
        <f>IF(B28=N3,"3",IF(B28=N4,"3",IF(B28=N5,"2",IF(B28=N6,"4",IF(B28=N7,6,IF(B28=N8,9,IF(B28=N9,13,IF(B28=N10,16,IF(B28=N11,22,IF(B28=N12,24,IF(B28=N13,25,0)))))))))))</f>
        <v>0</v>
      </c>
      <c r="C86" s="68">
        <f>IF(B28=N3,"3",IF(B28=N4,"4",IF(B28=N5,"3",IF(B28=N6,"6",IF(B28=N7,9,IF(B28=N8,12,IF(B28=N9,16,IF(B28=N10,20,IF(B28=N11,25,IF(B28=N12,28,IF(B28=N13,29,0)))))))))))</f>
        <v>0</v>
      </c>
      <c r="D86" s="68">
        <f>IF(B28=N3,"Max de répétitions",IF(B28=N4,"Max de répétitions",IF(B28=N5,"Max de répétitions et minimum 4",IF(B28=N6,"Max de répétitions et minimum 6",IF(B28=N7,"Max de répétitions et minimum 9",IF(B28=N8,"Max de répétitions et minimum 11",IF(B28=N9,"Max de répétitions et minimum 16",IF(B28=N10,"Max de répétitions et minimum 19",IF(B28=N11,"Max de répétitions et minimum 25",IF(B28=N12,"Max de répétitions et minimum 28",IF(B28=N13,"Max de répétitions et minimum 28",0)))))))))))</f>
        <v>0</v>
      </c>
      <c r="E86" s="112"/>
      <c r="F86" s="68" t="s">
        <v>128</v>
      </c>
      <c r="G86" s="112"/>
      <c r="H86" s="68"/>
    </row>
    <row r="87" spans="1:8" x14ac:dyDescent="0.25">
      <c r="A87" s="263"/>
      <c r="B87" s="266"/>
      <c r="C87" s="266"/>
      <c r="D87" s="266"/>
      <c r="E87" s="266"/>
      <c r="F87" s="267"/>
      <c r="G87" s="267"/>
      <c r="H87" s="266"/>
    </row>
    <row r="88" spans="1:8" x14ac:dyDescent="0.25">
      <c r="A88" s="214" t="s">
        <v>403</v>
      </c>
      <c r="B88" s="215"/>
      <c r="C88" s="215"/>
      <c r="D88" s="215"/>
      <c r="E88" s="215"/>
      <c r="F88" s="215"/>
      <c r="G88" s="215"/>
      <c r="H88" s="215"/>
    </row>
    <row r="89" spans="1:8" x14ac:dyDescent="0.25">
      <c r="A89" s="72" t="s">
        <v>395</v>
      </c>
      <c r="B89" s="208" t="s">
        <v>324</v>
      </c>
      <c r="C89" s="209"/>
      <c r="D89" s="209"/>
      <c r="E89" s="209"/>
      <c r="H89" s="147" t="s">
        <v>325</v>
      </c>
    </row>
    <row r="90" spans="1:8" x14ac:dyDescent="0.25">
      <c r="A90" s="73" t="s">
        <v>2</v>
      </c>
      <c r="B90" s="74" t="s">
        <v>3</v>
      </c>
      <c r="C90" s="74" t="s">
        <v>4</v>
      </c>
      <c r="D90" s="74" t="s">
        <v>5</v>
      </c>
      <c r="E90" s="74" t="s">
        <v>6</v>
      </c>
      <c r="F90" s="74" t="s">
        <v>124</v>
      </c>
      <c r="G90" s="74" t="s">
        <v>125</v>
      </c>
      <c r="H90" s="74" t="s">
        <v>123</v>
      </c>
    </row>
    <row r="91" spans="1:8" x14ac:dyDescent="0.25">
      <c r="A91" s="248" t="s">
        <v>399</v>
      </c>
      <c r="B91" s="65">
        <f>IF(B10=M3,"5",IF(B10=M4,"9",IF(B10=M5,"12",IF(B10=M6,"18",IF(B10=M7,21,IF(B10=M8, "voir note",IF(B10=M9,"voir note",IF(B10=M10,"voir note",IF(B10=M11,"voir note",IF(B10=M12,"voir note",IF(B10=M13,"voir note",IF(B10=M14,"voir note",0))))))))))))</f>
        <v>0</v>
      </c>
      <c r="C91" s="65">
        <f>IF(B10=M3,"6",IF(B10=M4,"11",IF(B10=M5,"14",IF(B10=M6,"22",IF(B10=M7,25,IF(B10=M8,"voir note",IF(B10=M9,"voir note",IF(B10=M10,"voir note",IF(B10=M11,"voir note",IF(B10=M12,"voir note",IF(B10=M13,"voir note",IF(B10=M14,"voir note",0))))))))))))</f>
        <v>0</v>
      </c>
      <c r="D91" s="65">
        <f>IF(B10=M3,"4",IF(B10=M4,"8",IF(B10=M5,"10",IF(B10=M6,"16",IF(B10=M7,21,IF(B10=M8,"voir note",IF(B10=M9,"voir note",IF(B10=M10,"voir note",IF(B10=M11,"voir note",IF(B10=M12,"voir note",IF(B10=M13,"voir note",IF(B10=M14,"voir note",0))))))))))))</f>
        <v>0</v>
      </c>
      <c r="E91" s="65">
        <f>IF(B10=M3,"Max de répétitions et minimum 6",IF(B10=M4,"Max de répétitions et minimum 11",IF(B10=M5,"Max de répétitions et minimum 15",IF(B10=M6,"Max de répétitions et minimum 21",IF(B10=M7,"Max de répétitions et minimum 27",IF(B10=M8,"voir note",IF(B10=M9,"voir note",IF(B10=M10,"voir note",IF(B10=M11,"voir note",IF(B10=M12,"voir note",IF(B10=M13,"voir note",IF(B10=M14,"voir note",0))))))))))))</f>
        <v>0</v>
      </c>
      <c r="F91" s="68" t="s">
        <v>131</v>
      </c>
      <c r="G91" s="68" t="s">
        <v>131</v>
      </c>
      <c r="H91" s="67"/>
    </row>
    <row r="92" spans="1:8" x14ac:dyDescent="0.25">
      <c r="A92" s="79" t="s">
        <v>157</v>
      </c>
      <c r="B92" s="68">
        <f>IF(B11=N3,"5",IF(B11=N4,"6",IF(B11=N5,"3",IF(B11=N6,"5",IF(B11=N7,7,IF(B11=N8,10,IF(B11=N9,14,IF(B11=N10,17,IF(B11=N11,24,IF(B11=N12,26,IF(B11=N13,26,0)))))))))))</f>
        <v>0</v>
      </c>
      <c r="C92" s="68">
        <f>IF(B11=N3,"4",IF(B11=N4,"6",IF(B11=N5,"4",IF(B11=N6,"8",IF(B11=N7,10,IF(B11=N8,14,IF(B11=N9,19,IF(B11=N10,22,IF(B11=N11,27,IF(B11=N12,30,IF(B11=N13,31,0)))))))))))</f>
        <v>0</v>
      </c>
      <c r="D92" s="68">
        <f>IF(B11=N3,"4",IF(B11=N4,"4",IF(B11=N5,"3",IF(B11=N6,"5",IF(B11=N7,7,IF(B11=N8,10,IF(B11=N9,13,IF(B11=N10,17,IF(B11=N11,24,IF(B11=N12,25,IF(B11=N13,25,0)))))))))))</f>
        <v>0</v>
      </c>
      <c r="E92" s="68">
        <f>IF(B11=N3,"Max de répétitions",IF(B11=N4,"Max de répétitions",IF(B11=N5,"Max de répétitions et minimum 4",IF(B11=N6,"Max de répétitions et minimum 8",IF(B11=N7,"Max de répétitions et minimum 10",IF(B11=N8,"Max de répétitions et minimum 13",IF(B11=N9,"Max de répétitions et minimum 19",IF(B11=N10,"Max de répétitions et minimum 22",IF(B11=N11,"Max de répétitions et minimum 26",IF(B11=N12,"Max de répétitions et minimum 30",IF(B11=N13,"Max de répétitions et minimum 31",0)))))))))))</f>
        <v>0</v>
      </c>
      <c r="F92" s="68" t="s">
        <v>131</v>
      </c>
      <c r="G92" s="68" t="s">
        <v>131</v>
      </c>
      <c r="H92" s="69"/>
    </row>
    <row r="93" spans="1:8" x14ac:dyDescent="0.25">
      <c r="A93" s="79" t="s">
        <v>400</v>
      </c>
      <c r="B93" s="68">
        <v>11</v>
      </c>
      <c r="C93" s="68">
        <v>11</v>
      </c>
      <c r="D93" s="68">
        <v>11</v>
      </c>
      <c r="E93" s="265">
        <v>11</v>
      </c>
      <c r="F93" s="68" t="s">
        <v>131</v>
      </c>
      <c r="G93" s="68" t="s">
        <v>131</v>
      </c>
      <c r="H93" s="69"/>
    </row>
    <row r="94" spans="1:8" x14ac:dyDescent="0.25">
      <c r="A94" s="246" t="s">
        <v>394</v>
      </c>
      <c r="B94" s="68">
        <f>IF(B13=N3,"5",IF(B13=N4,"6",IF(B13=N5,"3",IF(B13=N6,"5",IF(B13=N7,7,IF(B13=N8,10,IF(B13=N9,14,IF(B13=N10,17,IF(B13=N11,24,IF(B13=N12,26,IF(B13=N13,26,0)))))))))))</f>
        <v>0</v>
      </c>
      <c r="C94" s="68">
        <f>IF(B13=N3,"4",IF(B13=N4,"6",IF(B13=N5,"4",IF(B13=N6,"8",IF(B13=N7,10,IF(B13=N8,14,IF(B13=N9,19,IF(B13=N10,22,IF(B13=N11,27,IF(B13=N12,30,IF(B13=N13,31,0)))))))))))</f>
        <v>0</v>
      </c>
      <c r="D94" s="68">
        <f>IF(B13=N3,"4",IF(B13=N4,"4",IF(B13=N5,"3",IF(B13=N6,"5",IF(B13=N7,7,IF(B13=N8,10,IF(B13=N9,13,IF(B13=N10,17,IF(B13=N11,24,IF(B13=N12,25,IF(B13=N13,25,0)))))))))))</f>
        <v>0</v>
      </c>
      <c r="E94" s="265">
        <f>IF(B13=N3,"Max de répétitions",IF(B13=N4,"Max de répétitions",IF(B13=N5,"Max de répétitions et minimum 4",IF(B13=N6,"Max de répétitions et minimum 8",IF(B13=N7,"Max de répétitions et minimum 10",IF(B13=N8,"Max de répétitions et minimum 13",IF(B13=N9,"Max de répétitions et minimum 19",IF(B13=N10,"Max de répétitions et minimum 22",IF(B13=N11,"Max de répétitions et minimum 26",IF(B13=N12,"Max de répétitions et minimum 30",IF(B13=N13,"Max de répétitions et minimum 31",0)))))))))))</f>
        <v>0</v>
      </c>
      <c r="F94" s="68" t="s">
        <v>131</v>
      </c>
      <c r="G94" s="68" t="s">
        <v>131</v>
      </c>
      <c r="H94" s="70"/>
    </row>
    <row r="95" spans="1:8" x14ac:dyDescent="0.25">
      <c r="A95" s="79" t="s">
        <v>380</v>
      </c>
      <c r="B95" s="68">
        <v>11</v>
      </c>
      <c r="C95" s="68">
        <v>11</v>
      </c>
      <c r="D95" s="68">
        <v>11</v>
      </c>
      <c r="E95" s="112"/>
      <c r="F95" s="68" t="s">
        <v>131</v>
      </c>
      <c r="G95" s="112"/>
      <c r="H95" s="70"/>
    </row>
    <row r="96" spans="1:8" x14ac:dyDescent="0.25">
      <c r="A96" s="214" t="s">
        <v>140</v>
      </c>
      <c r="B96" s="215"/>
      <c r="C96" s="215"/>
      <c r="D96" s="215"/>
      <c r="E96" s="215"/>
      <c r="F96" s="215"/>
      <c r="G96" s="215"/>
      <c r="H96" s="215"/>
    </row>
    <row r="97" spans="1:8" ht="15.75" thickBot="1" x14ac:dyDescent="0.3">
      <c r="A97" s="213" t="s">
        <v>167</v>
      </c>
      <c r="B97" s="213"/>
      <c r="C97" s="213"/>
      <c r="D97" s="213"/>
      <c r="E97" s="213"/>
      <c r="F97" s="213"/>
      <c r="G97" s="213"/>
      <c r="H97" s="213"/>
    </row>
    <row r="98" spans="1:8" x14ac:dyDescent="0.25">
      <c r="A98" s="72" t="s">
        <v>386</v>
      </c>
      <c r="B98" s="208" t="s">
        <v>324</v>
      </c>
      <c r="C98" s="209"/>
      <c r="D98" s="209"/>
      <c r="E98" s="209"/>
      <c r="H98" s="147" t="s">
        <v>325</v>
      </c>
    </row>
    <row r="99" spans="1:8" x14ac:dyDescent="0.25">
      <c r="A99" s="73" t="s">
        <v>2</v>
      </c>
      <c r="B99" s="74" t="s">
        <v>3</v>
      </c>
      <c r="C99" s="74" t="s">
        <v>4</v>
      </c>
      <c r="D99" s="74" t="s">
        <v>5</v>
      </c>
      <c r="E99" s="74" t="s">
        <v>6</v>
      </c>
      <c r="F99" s="74" t="s">
        <v>124</v>
      </c>
      <c r="G99" s="74" t="s">
        <v>125</v>
      </c>
      <c r="H99" s="74" t="s">
        <v>123</v>
      </c>
    </row>
    <row r="100" spans="1:8" x14ac:dyDescent="0.25">
      <c r="A100" s="248" t="s">
        <v>399</v>
      </c>
      <c r="B100" s="65">
        <f>IF(B10=M3,"5",IF(B10=M4,"10",IF(B10=M5,"13",IF(B10=M6,"20",IF(B10=M7,25,IF(B10=M8,17,IF(B10=M9,22,IF(B10=M10,27,IF(B10=M11,30,IF(B10=M12,30,IF(B10=M13,30,IF(B10=M14,35,0))))))))))))</f>
        <v>0</v>
      </c>
      <c r="C100" s="65">
        <f>IF(B10=M3,"6",IF(B10=M4,"12",IF(B10=M5,"15",IF(B10=M6,"25",IF(B10=M7,29,IF(B10=M8,19,IF(B10=M9,24,IF(B10=M10,29,IF(B10=M11,34,IF(B10=M12,39,IF(B10=M13,44,IF(B10=M14,49,0))))))))))))</f>
        <v>0</v>
      </c>
      <c r="D100" s="65">
        <f>IF(B10=M3,"4",IF(B10=M4,"9",IF(B10=M5,"11",IF(B10=M6,"20",IF(B10=M7,25,IF(B10=M8,15,IF(B10=M9,20,IF(B10=M10,25,IF(B10=M11,30,IF(B10=M12,35,IF(B10=M13,40,IF(B10=M14,45,0))))))))))))</f>
        <v>0</v>
      </c>
      <c r="E100" s="65">
        <f>IF(B10=M3,"Max de répétitions et minimum 7",IF(B10=M4,"Max de répétitions et minimum 13",IF(B10=M5,"Max de répétitions et minimum 17",IF(B10=M6,"Max de répétitions et minimum 23",IF(B10=M7,"Max de répétitions et minimum 30",IF(B10=M8,"Max de répétitions et minimum 20",IF(B10=M9,"Max de répétitions et minimum 25",IF(B10=M10,"Max de répétitions et minimum 35",IF(B10=M11,"Max de répétitions et minimum 40",IF(B10=M12,"Max de répétitions et minimum 42",IF(B10=M13,"Max de répétitions et minimum 55",IF(B10=M14,"Max de répétitions et minimum 55",0))))))))))))</f>
        <v>0</v>
      </c>
      <c r="F100" s="68" t="s">
        <v>131</v>
      </c>
      <c r="G100" s="68" t="s">
        <v>131</v>
      </c>
      <c r="H100" s="67"/>
    </row>
    <row r="101" spans="1:8" x14ac:dyDescent="0.25">
      <c r="A101" s="79" t="s">
        <v>157</v>
      </c>
      <c r="B101" s="68">
        <f>IF(B11=N3,"5",IF(B11=N4,"7",IF(B11=N5,"3",IF(B11=N6,"6",IF(B11=N7,8,IF(B11=N8,11,IF(B11=N9,14,IF(B11=N10,18,IF(B11=N11,25,IF(B11=N12,26,IF(B11=N13,26,0)))))))))))</f>
        <v>0</v>
      </c>
      <c r="C101" s="68">
        <f>IF(B11=N3,"5",IF(B11=N4,"6",IF(B11=N5,"4",IF(B11=N6,"9",IF(B11=N7,11,IF(B11=N8,15,IF(B11=N9,20,IF(B11=N10,25,IF(B11=N11,29,IF(B11=N12,31,IF(B11=N13,32,0)))))))))))</f>
        <v>0</v>
      </c>
      <c r="D101" s="68">
        <f>IF(B11=N3,"4",IF(B11=N4,"5",IF(B11=N5,"3",IF(B11=N6,"6",IF(B11=N7,8,IF(B11=N8,11,IF(B11=N9,14,IF(B11=N10,18,IF(B11=N11,25,IF(B11=N12,26,IF(B11=N13,26,0)))))))))))</f>
        <v>0</v>
      </c>
      <c r="E101" s="68">
        <f>IF(B11=N3,"Max de répétitions",IF(B11=N4,"Max de répétitions",IF(B11=N5,"Max de répétitions et minimum 5",IF(B11=N6,"Max de répétitions et minimum 8",IF(B11=N7,"Max de répétitions et minimum 10",IF(B11=N8,"Max de répétitions et minimum 13",IF(B11=N9,"Max de répétitions et minimum 20",IF(B11=N10,"Max de répétitions et minimum 22",IF(B11=N11,"Max de répétitions et minimum 27",IF(B11=N12,"Max de répétitions et minimum 31",IF(B11=N13,"Max de répétitions et minimum 31",0)))))))))))</f>
        <v>0</v>
      </c>
      <c r="F101" s="68" t="s">
        <v>131</v>
      </c>
      <c r="G101" s="68" t="s">
        <v>131</v>
      </c>
      <c r="H101" s="69"/>
    </row>
    <row r="102" spans="1:8" x14ac:dyDescent="0.25">
      <c r="A102" s="79" t="s">
        <v>400</v>
      </c>
      <c r="B102" s="68">
        <v>12</v>
      </c>
      <c r="C102" s="68">
        <v>12</v>
      </c>
      <c r="D102" s="68">
        <v>12</v>
      </c>
      <c r="E102" s="265">
        <v>12</v>
      </c>
      <c r="F102" s="68" t="s">
        <v>131</v>
      </c>
      <c r="G102" s="68" t="s">
        <v>131</v>
      </c>
      <c r="H102" s="69"/>
    </row>
    <row r="103" spans="1:8" x14ac:dyDescent="0.25">
      <c r="A103" s="246" t="s">
        <v>394</v>
      </c>
      <c r="B103" s="68">
        <f>IF(B13=N3,"5",IF(B13=N4,"7",IF(B13=N5,"3",IF(B13=N6,"6",IF(B13=N7,8,IF(B13=N8,11,IF(B13=N9,14,IF(B13=N10,18,IF(B13=N11,25,IF(B13=N12,26,IF(B13=N13,26,0)))))))))))</f>
        <v>0</v>
      </c>
      <c r="C103" s="68">
        <f>IF(B13=N3,"5",IF(B13=N4,"6",IF(B13=N5,"4",IF(B13=N6,"9",IF(B13=N7,11,IF(B13=N8,15,IF(B13=N9,20,IF(B13=N10,25,IF(B13=N11,29,IF(B13=N12,31,IF(B13=N13,32,0)))))))))))</f>
        <v>0</v>
      </c>
      <c r="D103" s="68">
        <f>IF(B13=N3,"4",IF(B13=N4,"5",IF(B13=N5,"3",IF(B13=N6,"6",IF(B13=N7,8,IF(B13=N8,11,IF(B13=N9,14,IF(B13=N10,18,IF(B13=N11,25,IF(B13=N12,26,IF(B13=N13,26,0)))))))))))</f>
        <v>0</v>
      </c>
      <c r="E103" s="265">
        <f>IF(B13=N3,"Max de répétitions",IF(B13=N4,"Max de répétitions",IF(B13=N5,"Max de répétitions et minimum 5",IF(B13=N6,"Max de répétitions et minimum 8",IF(B13=N7,"Max de répétitions et minimum 10",IF(B13=N8,"Max de répétitions et minimum 13",IF(B13=N9,"Max de répétitions et minimum 20",IF(B13=N10,"Max de répétitions et minimum 22",IF(B13=N11,"Max de répétitions et minimum 27",IF(B13=N12,"Max de répétitions et minimum 31",IF(B13=N13,"Max de répétitions et minimum 31",0)))))))))))</f>
        <v>0</v>
      </c>
      <c r="F103" s="68" t="s">
        <v>131</v>
      </c>
      <c r="G103" s="68" t="s">
        <v>131</v>
      </c>
      <c r="H103" s="70"/>
    </row>
    <row r="104" spans="1:8" ht="15.75" thickBot="1" x14ac:dyDescent="0.3">
      <c r="A104" s="79" t="s">
        <v>380</v>
      </c>
      <c r="B104" s="68">
        <v>12</v>
      </c>
      <c r="C104" s="68">
        <v>12</v>
      </c>
      <c r="D104" s="68">
        <v>12</v>
      </c>
      <c r="E104" s="112"/>
      <c r="F104" s="68" t="s">
        <v>131</v>
      </c>
      <c r="G104" s="112"/>
      <c r="H104" s="70"/>
    </row>
    <row r="105" spans="1:8" x14ac:dyDescent="0.25">
      <c r="A105" s="72" t="s">
        <v>384</v>
      </c>
      <c r="B105" s="208" t="s">
        <v>324</v>
      </c>
      <c r="C105" s="209"/>
      <c r="D105" s="209"/>
      <c r="E105" s="209"/>
      <c r="H105" s="147" t="s">
        <v>325</v>
      </c>
    </row>
    <row r="106" spans="1:8" x14ac:dyDescent="0.25">
      <c r="A106" s="73" t="s">
        <v>2</v>
      </c>
      <c r="B106" s="74" t="s">
        <v>3</v>
      </c>
      <c r="C106" s="74" t="s">
        <v>4</v>
      </c>
      <c r="D106" s="74" t="s">
        <v>5</v>
      </c>
      <c r="E106" s="74" t="s">
        <v>6</v>
      </c>
      <c r="F106" s="74" t="s">
        <v>124</v>
      </c>
      <c r="G106" s="74" t="s">
        <v>125</v>
      </c>
      <c r="H106" s="74" t="s">
        <v>123</v>
      </c>
    </row>
    <row r="107" spans="1:8" x14ac:dyDescent="0.25">
      <c r="A107" s="79" t="s">
        <v>302</v>
      </c>
      <c r="B107" s="65">
        <f>IF(B17=O3,"8",IF(B17=O4,"12",IF(B17=O5,"18",IF(B17=O6,"22",IF(B17=O7,28,IF(B17=O8,34,IF(B17=O9,40,IF(B17=O10,46,IF(B17=O11,52,IF(B17=O12,58,IF(B17=O13,50,IF(B17=O14,54,IF(B17=O15,60,IF(B17=O16,64,0))))))))))))))</f>
        <v>0</v>
      </c>
      <c r="C107" s="65">
        <f>IF(B17=O3,"6",IF(B17=O4,"10",IF(B17=O5,"18",IF(B17=O6,"24",IF(B17=O7,26,IF(B17=O8,32,IF(B17=O9,38,IF(B17=O10,46,IF(B17=O11,52,IF(B17=O12,54,IF(B17=O13,50,IF(B17=O14,52,IF(B17=O15,60,IF(B17=O16,64,0))))))))))))))</f>
        <v>0</v>
      </c>
      <c r="D107" s="65">
        <f>IF(B17=O3,"7",IF(B17=O4,"11",IF(B17=O5,"16",IF(B17=O6,"22",IF(B17=O7,26,IF(B17=O8,33,IF(B17=O9,39,IF(B17=O10,45,IF(B17=O11,50,IF(B17=O12,54,IF(B17=O13,42,IF(B17=O14,53,IF(B17=O15,55,IF(B17=O16,64,0))))))))))))))</f>
        <v>0</v>
      </c>
      <c r="E107" s="65">
        <f>IF(B17=O3,"Max de répétitions et minimum 8",IF(B17=O4,"Max de répétitions et minimum 12",IF(B17=O5,"Max de répétitions et minimum 18",IF(B17=O6,"Max de répétitions et minimum 24",IF(B17=O7,"Max de répétitions et minimum 30",IF(B17=O8,"Max de répétitions et minimum 36",IF(B17=O9,"Max de répétitions et minimum 42",IF(B17=O10,"Max de répétitions et minimum 46",IF(B17=O11,"Max de répétitions et minimum 52",IF(B17=O12,"Max de répétitions et minimum 60",IF(B17=O13,"Max de répétitions et minimum 50",IF(B17=O14,"Max de répétitions et minimum 56",IF(B17=O15,"Max de répétitions et minimum 62",IF(B17=O16,"Max de répétitions et minimum 64",0))))))))))))))</f>
        <v>0</v>
      </c>
      <c r="F107" s="68" t="s">
        <v>128</v>
      </c>
      <c r="G107" s="68" t="s">
        <v>127</v>
      </c>
      <c r="H107" s="67" t="s">
        <v>387</v>
      </c>
    </row>
    <row r="108" spans="1:8" x14ac:dyDescent="0.25">
      <c r="A108" s="79" t="s">
        <v>166</v>
      </c>
      <c r="B108" s="68">
        <f>IF(B18=N3,"4",IF(B18=N4,"6",IF(B18=N5,"3",IF(B18=N6,"5",IF(B18=N7,7,IF(B18=N8,9,IF(B18=N9,13,IF(B18=N10,17,IF(B18=N11,23,IF(B18=N12,25,IF(B18=N13,25,0)))))))))))</f>
        <v>0</v>
      </c>
      <c r="C108" s="68">
        <f>IF(B18=N3,"4",IF(B18=N4,"5",IF(B18=N5,"4",IF(B18=N6,"7",IF(B18=N7,10,IF(B18=N8,13,IF(B18=N9,16,IF(B18=N10,21,IF(B18=N11,26,IF(B18=N12,29,IF(B18=N13,30,0)))))))))))</f>
        <v>0</v>
      </c>
      <c r="D108" s="68">
        <f>IF(B18=N3,"3",IF(B18=N4,"4",IF(B18=N5,"2",IF(B18=N6,"5",IF(B18=N7,6,IF(B18=N8,9,IF(B18=N9,12,IF(B18=N10,16,IF(B18=N11,23,IF(B18=N12,24,IF(B18=N13,25,0)))))))))))</f>
        <v>0</v>
      </c>
      <c r="E108" s="68">
        <f>IF(B18=N3,"Max de répétitions",IF(B18=N4,"Max de répétitions",IF(B18=N5,"Max de répétitions et minimum 4",IF(B18=N6,"Max de répétitions et minimum 6",IF(B18=N7,"Max de répétitions et minimum 9",IF(B18=N8,"Max de répétitions et minimum 12",IF(B18=N9,"Max de répétitions et minimum 16",IF(B18=N10,"Max de répétitions et minimum 20",IF(B18=N11,"Max de répétitions et minimum 25",IF(B18=N12,"Max de répétitions et minimum 29",IF(B18=N13,"Max de répétitions et minimum 29",0)))))))))))</f>
        <v>0</v>
      </c>
      <c r="F108" s="68" t="s">
        <v>130</v>
      </c>
      <c r="G108" s="68" t="s">
        <v>128</v>
      </c>
      <c r="H108" s="69"/>
    </row>
    <row r="109" spans="1:8" x14ac:dyDescent="0.25">
      <c r="A109" s="79" t="s">
        <v>174</v>
      </c>
      <c r="B109" s="68">
        <f>IF(B19=N3,"4",IF(B19=N4,"6",IF(B19=N5,"3",IF(B19=N6,"5",IF(B19=N7,7,IF(B19=N8,9,IF(B19=N9,13,IF(B19=N10,17,IF(B19=N11,23,IF(B19=N12,25,IF(B19=N13,25,0)))))))))))</f>
        <v>0</v>
      </c>
      <c r="C109" s="68">
        <f>IF(B19=N3,"4",IF(B19=N4,"5",IF(B19=N5,"4",IF(B19=N6,"7",IF(B19=N7,10,IF(B19=N8,13,IF(B19=N9,16,IF(B19=N10,21,IF(B19=N11,26,IF(B19=N12,29,IF(B19=N13,30,0)))))))))))</f>
        <v>0</v>
      </c>
      <c r="D109" s="68">
        <f>IF(B19=N3,"3",IF(B19=N4,"4",IF(B19=N5,"2",IF(B19=N6,"5",IF(B19=N7,6,IF(B19=N8,9,IF(B19=N9,12,IF(B19=N10,16,IF(B19=N11,23,IF(B19=N12,24,IF(B19=N13,25,0)))))))))))</f>
        <v>0</v>
      </c>
      <c r="E109" s="68">
        <f>IF(B19=N3,"Max de répétitions",IF(B19=N4,"Max de répétitions",IF(B19=N5,"Max de répétitions et minimum 4",IF(B19=N6,"Max de répétitions et minimum 6",IF(B19=N7,"Max de répétitions et minimum 9",IF(B19=N8,"Max de répétitions et minimum 12",IF(B19=N9,"Max de répétitions et minimum 16",IF(B19=N10,"Max de répétitions et minimum 20",IF(B19=N11,"Max de répétitions et minimum 25",IF(B19=N12,"Max de répétitions et minimum 29",IF(B19=N13,"Max de répétitions et minimum 29",0)))))))))))</f>
        <v>0</v>
      </c>
      <c r="F109" s="68" t="s">
        <v>130</v>
      </c>
      <c r="G109" s="68" t="s">
        <v>128</v>
      </c>
      <c r="H109" s="69"/>
    </row>
    <row r="110" spans="1:8" x14ac:dyDescent="0.25">
      <c r="A110" s="79" t="s">
        <v>171</v>
      </c>
      <c r="B110" s="68">
        <f>IF(B20=M3,"4",IF(B20=M4,"8",IF(B20=M5,"11",IF(B20=M6,"16",IF(B20=M7,20,IF(B20=M8,13,IF(B20=M9,18,IF(B20=M10,20,IF(B20=M11,20,IF(B20=M12,22,IF(B20=M13,26,IF(B20=M14,28,0))))))))))))</f>
        <v>0</v>
      </c>
      <c r="C110" s="68">
        <f>IF(B20=M3,"5",IF(B20=M4,"10",IF(B20=M5,"13",IF(B20=M6,"21",IF(B20=M7,27,IF(B20=M8,13,IF(B20=M9,20,IF(B20=M10,24,IF(B20=M11,27,IF(B20=M12,30,IF(B20=M13,33,IF(B20=M14,35,0))))))))))))</f>
        <v>0</v>
      </c>
      <c r="D110" s="68">
        <f>IF(B20=M3,"Max de répétitions et minimum 5",IF(B20=M4,"Max de répétitions et minimum 10",IF(B20=M5,"Max de répétitions et minimum 13",IF(B20=M6,"Max de répétitions et minimum 21",IF(B20=M7,"Max de répétitions et minimum 25",IF(B20=M8,"Max de répétitions et minimum 30",IF(B20=M9,"Max de répétitions et minimum 35",IF(B20=M10,"Max de répétitions et minimum 40",IF(B20=M11,"Max de répétitions et minimum 44",IF(B20=M12,"Max de répétitions et minimum 55",IF(B20=M13,"Max de répétitions et minimum 60",IF(B20=M14,"Max de répétitions et minimum 60",0))))))))))))</f>
        <v>0</v>
      </c>
      <c r="E110" s="112"/>
      <c r="F110" s="68" t="s">
        <v>173</v>
      </c>
      <c r="G110" s="68" t="s">
        <v>131</v>
      </c>
      <c r="H110" s="70"/>
    </row>
    <row r="111" spans="1:8" x14ac:dyDescent="0.25">
      <c r="A111" s="79" t="s">
        <v>161</v>
      </c>
      <c r="B111" s="68">
        <f>IF(B21=N3,"4",IF(B21=N4,"6",IF(B21=N5,"3",IF(B21=N6,"5",IF(B21=N7,7,IF(B21=N8,9,IF(B21=N9,13,IF(B21=N10,17,IF(B21=N11,23,IF(B21=N12,25,IF(B21=N13,25,0)))))))))))</f>
        <v>0</v>
      </c>
      <c r="C111" s="68">
        <f>IF(B21=N3,"4",IF(B21=N4,"5",IF(B21=N5,"4",IF(B21=N6,"7",IF(B21=N7,10,IF(B21=N8,13,IF(B21=N9,16,IF(B21=N10,21,IF(B21=N11,26,IF(B21=N12,29,IF(B21=N13,30,0)))))))))))</f>
        <v>0</v>
      </c>
      <c r="D111" s="68">
        <f>IF(B21=N3,"Max de répétitions",IF(B21=N4,"Max de répétitions",IF(B21=N5,"Max de répétitions et minimum 4",IF(B21=N6,"Max de répétitions et minimum 6",IF(B21=N7,"Max de répétitions et minimum 9",IF(B21=N8,"Max de répétitions et minimum 12",IF(B21=N9,"Max de répétitions et minimum 16",IF(B21=N10,"Max de répétitions et minimum 20",IF(B21=N11,"Max de répétitions et minimum 25",IF(B21=N12,"Max de répétitions et minimum 29",IF(B21=N13,"Max de répétitions et minimum 29",0)))))))))))</f>
        <v>0</v>
      </c>
      <c r="E111" s="112"/>
      <c r="F111" s="68" t="s">
        <v>131</v>
      </c>
      <c r="G111" s="112"/>
      <c r="H111" s="70"/>
    </row>
    <row r="112" spans="1:8" ht="15.75" thickBot="1" x14ac:dyDescent="0.3">
      <c r="A112" s="214" t="s">
        <v>152</v>
      </c>
      <c r="B112" s="215"/>
      <c r="C112" s="215"/>
      <c r="D112" s="215"/>
      <c r="E112" s="215"/>
      <c r="F112" s="215"/>
      <c r="G112" s="215"/>
      <c r="H112" s="215"/>
    </row>
    <row r="113" spans="1:8" x14ac:dyDescent="0.25">
      <c r="A113" s="72" t="s">
        <v>385</v>
      </c>
      <c r="B113" s="208" t="s">
        <v>324</v>
      </c>
      <c r="C113" s="209"/>
      <c r="D113" s="209"/>
      <c r="E113" s="209"/>
      <c r="H113" s="147" t="s">
        <v>325</v>
      </c>
    </row>
    <row r="114" spans="1:8" x14ac:dyDescent="0.25">
      <c r="A114" s="73" t="s">
        <v>2</v>
      </c>
      <c r="B114" s="74" t="s">
        <v>3</v>
      </c>
      <c r="C114" s="74" t="s">
        <v>4</v>
      </c>
      <c r="D114" s="74" t="s">
        <v>5</v>
      </c>
      <c r="E114" s="74" t="s">
        <v>6</v>
      </c>
      <c r="F114" s="74" t="s">
        <v>124</v>
      </c>
      <c r="G114" s="74" t="s">
        <v>125</v>
      </c>
      <c r="H114" s="74" t="s">
        <v>123</v>
      </c>
    </row>
    <row r="115" spans="1:8" x14ac:dyDescent="0.25">
      <c r="A115" s="86" t="s">
        <v>147</v>
      </c>
      <c r="B115" s="68">
        <f>IF(B24=M3,"4",IF(B24=M4,"8",IF(B24=M5,"11",IF(B24=M6,"16",IF(B24=M7,20,IF(B24=M8,13,IF(B24=M9,18,IF(B24=M10,20,IF(B24=M11,20,IF(B24=M12,22,IF(B24=M13,26,IF(B24=M14,28,0))))))))))))</f>
        <v>0</v>
      </c>
      <c r="C115" s="68">
        <f>IF(B24=M3,"5",IF(B24=M4,"10",IF(B24=M5,"13",IF(B24=M6,"21",IF(B24=M7,27,IF(B24=M8,13,IF(B24=M9,20,IF(B24=M10,24,IF(B24=M11,27,IF(B24=M12,30,IF(B24=M13,33,IF(B24=M14,35,0))))))))))))</f>
        <v>0</v>
      </c>
      <c r="D115" s="68">
        <f>IF(B24=M3,"4",IF(B24=M4,"7",IF(B24=M5,"9",IF(B24=M6,"15",IF(B24=M7,18,IF(B24=M8,15,IF(B24=M9,17,IF(B24=M10,20,IF(B24=M11,21,IF(B24=M12,22,IF(B24=M13,23,IF(B24=M14,25,0))))))))))))</f>
        <v>0</v>
      </c>
      <c r="E115" s="68">
        <f>IF(B24=M3,"Max de répétitions et minimum 5",IF(B24=M4,"Max de répétitions et minimum 10",IF(B24=M5,"Max de répétitions et minimum 13",IF(B24=M6,"Max de répétitions et minimum 21",IF(B24=M7,"Max de répétitions et minimum 25",IF(B24=M8,"Max de répétitions et minimum 30",IF(B24=M9,"Max de répétitions et minimum 35",IF(B24=M10,"Max de répétitions et minimum 40",IF(B24=M11,"Max de répétitions et minimum 44",IF(B24=M12,"Max de répétitions et minimum 55",IF(B24=M13,"Max de répétitions et minimum 60",IF(B24=M14,"Max de répétitions et minimum 60",0))))))))))))</f>
        <v>0</v>
      </c>
      <c r="F115" s="68" t="s">
        <v>128</v>
      </c>
      <c r="G115" s="68" t="s">
        <v>128</v>
      </c>
      <c r="H115" s="68"/>
    </row>
    <row r="116" spans="1:8" x14ac:dyDescent="0.25">
      <c r="A116" s="79" t="s">
        <v>155</v>
      </c>
      <c r="B116" s="68">
        <f>IF(B25=N3,"4",IF(B25=N4,"6",IF(B25=N5,"3",IF(B25=N6,"5",IF(B25=N7,7,IF(B25=N8,9,IF(B25=N9,13,IF(B25=N10,17,IF(B25=N11,23,IF(B25=N12,25,IF(B25=N13,25,0)))))))))))</f>
        <v>0</v>
      </c>
      <c r="C116" s="68">
        <f>IF(B25=N3,"9",IF(B25=N4,"10",IF(B25=N5,"4",IF(B25=N6,"7",IF(B25=N7,10,IF(B25=N8,13,IF(B25=N9,16,IF(B25=N10,21,IF(B25=N11,26,IF(B25=N12,29,IF(B25=N13,30,0)))))))))))</f>
        <v>0</v>
      </c>
      <c r="D116" s="68">
        <f>IF(B25=N3,"6",IF(B25=N4,"8",IF(B25=N5,"2",IF(B25=N6,"5",IF(B25=N7,6,IF(B25=N8,9,IF(B25=N9,12,IF(B25=N10,16,IF(B25=N11,23,IF(B25=N12,24,IF(B25=N13,25,0)))))))))))</f>
        <v>0</v>
      </c>
      <c r="E116" s="68">
        <f>IF(B25=N3,"6",IF(B25=N4,"8",IF(B25=N5,"Max de répétitions et minimum 4",IF(B25=N6,"Max de répétitions et minimum 6",IF(B25=N7,"Max de répétitions et minimum 9",IF(B25=N8,"Max de répétitions et minimum 12",IF(B25=N9,"Max de répétitions et minimum 16",IF(B25=N10,"Max de répétitions et minimum 20",IF(B25=N11,"Max de répétitions et minimum 25",IF(B25=N12,"Max de répétitions et minimum 29",IF(B25=N13,"Max de répétitions et minimum 29",0)))))))))))</f>
        <v>0</v>
      </c>
      <c r="F116" s="68" t="s">
        <v>128</v>
      </c>
      <c r="G116" s="68" t="s">
        <v>128</v>
      </c>
      <c r="H116" s="76" t="str">
        <f>IF(OR(B25=N3,B25=N4),"Toutes les répétitions en excentrique","")</f>
        <v/>
      </c>
    </row>
    <row r="117" spans="1:8" x14ac:dyDescent="0.25">
      <c r="A117" s="79" t="s">
        <v>7</v>
      </c>
      <c r="B117" s="68">
        <f>IF(B26=M3,"4",IF(B26=M4,"8",IF(B26=M5,"11",IF(B26=M6,"16",IF(B26=M7,20,IF(B26=M8,13,IF(B26=M9,18,IF(B26=M10,20,IF(B26=M11,20,IF(B26=M12,22,IF(B26=M13,26,IF(B26=M14,28,0))))))))))))</f>
        <v>0</v>
      </c>
      <c r="C117" s="68">
        <f>IF(B26=M3,"5",IF(B26=M4,"10",IF(B26=M5,"13",IF(B26=M6,"21",IF(B26=M7,27,IF(B26=M8,13,IF(B26=M9,20,IF(B26=M10,24,IF(B26=M11,27,IF(B26=M12,30,IF(B26=M13,33,IF(B26=M14,35,0))))))))))))</f>
        <v>0</v>
      </c>
      <c r="D117" s="68">
        <f>IF(B26=M3,"4",IF(B26=M4,"7",IF(B26=M5,"9",IF(B26=M6,"15",IF(B26=M7,18,IF(B26=M8,15,IF(B26=M9,17,IF(B26=M10,20,IF(B26=M11,21,IF(B26=M12,22,IF(B26=M13,23,IF(B26=M14,25,0))))))))))))</f>
        <v>0</v>
      </c>
      <c r="E117" s="68">
        <f>IF(B26=M3,"Max de répétitions et minimum 5",IF(B26=M4,"Max de répétitions et minimum 10",IF(B26=M5,"Max de répétitions et minimum 13",IF(B26=M6,"Max de répétitions et minimum 21",IF(B26=M7,"Max de répétitions et minimum 25",IF(B26=M8,"Max de répétitions et minimum 30",IF(B26=M9,"Max de répétitions et minimum 35",IF(B26=M10,"Max de répétitions et minimum 40",IF(B26=M11,"Max de répétitions et minimum 44",IF(B26=M12,"Max de répétitions et minimum 55",IF(B26=M13,"Max de répétitions et minimum 60",IF(B26=M14,"Max de répétitions et minimum 60",0))))))))))))</f>
        <v>0</v>
      </c>
      <c r="F117" s="68" t="s">
        <v>128</v>
      </c>
      <c r="G117" s="68" t="s">
        <v>128</v>
      </c>
      <c r="H117" s="68"/>
    </row>
    <row r="118" spans="1:8" x14ac:dyDescent="0.25">
      <c r="A118" s="79" t="s">
        <v>328</v>
      </c>
      <c r="B118" s="68">
        <f>IF(B27=N3,"4",IF(B27=N4,"6",IF(B27=N5,"3",IF(B27=N6,"5",IF(B27=N7,7,IF(B27=N8,9,IF(B27=N9,13,IF(B27=N10,17,IF(B27=N11,23,IF(B27=N12,25,IF(B27=N13,25,0)))))))))))</f>
        <v>0</v>
      </c>
      <c r="C118" s="68">
        <f>IF(B27=N3,"4",IF(B27=N4,"5",IF(B27=N5,"4",IF(B27=N6,"7",IF(B27=N7,10,IF(B27=N8,13,IF(B27=N9,16,IF(B27=N10,21,IF(B27=N11,26,IF(B27=N12,29,IF(B27=N13,30,0)))))))))))</f>
        <v>0</v>
      </c>
      <c r="D118" s="68">
        <f>IF(B27=N3,"3",IF(B27=N4,"4",IF(B27=N5,"2",IF(B27=N6,"5",IF(B27=N7,6,IF(B27=N8,9,IF(B27=N9,12,IF(B27=N10,16,IF(B27=N11,23,IF(B27=N12,24,IF(B27=N13,25,0)))))))))))</f>
        <v>0</v>
      </c>
      <c r="E118" s="68">
        <f>IF(B27=N3,"Max de répétitions",IF(B27=N4,"Max de répétitions",IF(B27=N5,"Max de répétitions et minimum 4",IF(B27=N6,"Max de répétitions et minimum 6",IF(B27=N7,"Max de répétitions et minimum 9",IF(B27=N8,"Max de répétitions et minimum 12",IF(B27=N9,"Max de répétitions et minimum 16",IF(B27=N10,"Max de répétitions et minimum 20",IF(B27=N11,"Max de répétitions et minimum 25",IF(B27=N12,"Max de répétitions et minimum 29",IF(B27=N13,"Max de répétitions et minimum 29",0)))))))))))</f>
        <v>0</v>
      </c>
      <c r="F118" s="68" t="s">
        <v>128</v>
      </c>
      <c r="G118" s="68" t="s">
        <v>128</v>
      </c>
      <c r="H118" s="68"/>
    </row>
    <row r="119" spans="1:8" ht="15.75" thickBot="1" x14ac:dyDescent="0.3">
      <c r="A119" s="268" t="s">
        <v>327</v>
      </c>
      <c r="B119" s="68">
        <f>IF(B28=N3,"4",IF(B28=N4,"6",IF(B28=N5,"3",IF(B28=N6,"5",IF(B28=N7,7,IF(B28=N8,9,IF(B28=N9,13,IF(B28=N10,17,IF(B28=N11,23,IF(B28=N12,25,IF(B28=N13,25,0)))))))))))</f>
        <v>0</v>
      </c>
      <c r="C119" s="68">
        <f>IF(B28=N3,"4",IF(B28=N4,"5",IF(B28=N5,"4",IF(B28=N6,"7",IF(B28=N7,10,IF(B28=N8,13,IF(B28=N9,16,IF(B28=N10,21,IF(B28=N11,26,IF(B28=N12,29,IF(B28=N13,30,0)))))))))))</f>
        <v>0</v>
      </c>
      <c r="D119" s="68">
        <f>IF(B28=N3,"Max de répétitions",IF(B28=N4,"Max de répétitions",IF(B28=N5,"Max de répétitions et minimum 4",IF(B28=N6,"Max de répétitions et minimum 6",IF(B28=N7,"Max de répétitions et minimum 9",IF(B28=N8,"Max de répétitions et minimum 12",IF(B28=N9,"Max de répétitions et minimum 16",IF(B28=N10,"Max de répétitions et minimum 20",IF(B28=N11,"Max de répétitions et minimum 25",IF(B28=N12,"Max de répétitions et minimum 29",IF(B28=N13,"Max de répétitions et minimum 29",0)))))))))))</f>
        <v>0</v>
      </c>
      <c r="E119" s="112"/>
      <c r="F119" s="68" t="s">
        <v>128</v>
      </c>
      <c r="G119" s="112"/>
      <c r="H119" s="68"/>
    </row>
    <row r="120" spans="1:8" x14ac:dyDescent="0.25">
      <c r="A120" s="263"/>
      <c r="B120" s="266"/>
      <c r="C120" s="266"/>
      <c r="D120" s="266"/>
      <c r="E120" s="266"/>
      <c r="F120" s="267"/>
      <c r="G120" s="267"/>
      <c r="H120" s="266"/>
    </row>
    <row r="121" spans="1:8" ht="15.75" thickBot="1" x14ac:dyDescent="0.3">
      <c r="A121" s="214" t="s">
        <v>403</v>
      </c>
      <c r="B121" s="215"/>
      <c r="C121" s="215"/>
      <c r="D121" s="215"/>
      <c r="E121" s="215"/>
      <c r="F121" s="215"/>
      <c r="G121" s="215"/>
      <c r="H121" s="215"/>
    </row>
    <row r="122" spans="1:8" x14ac:dyDescent="0.25">
      <c r="A122" s="72" t="s">
        <v>395</v>
      </c>
      <c r="B122" s="208" t="s">
        <v>324</v>
      </c>
      <c r="C122" s="209"/>
      <c r="D122" s="209"/>
      <c r="E122" s="209"/>
      <c r="H122" s="147" t="s">
        <v>325</v>
      </c>
    </row>
    <row r="123" spans="1:8" x14ac:dyDescent="0.25">
      <c r="A123" s="73" t="s">
        <v>2</v>
      </c>
      <c r="B123" s="74" t="s">
        <v>3</v>
      </c>
      <c r="C123" s="74" t="s">
        <v>4</v>
      </c>
      <c r="D123" s="74" t="s">
        <v>5</v>
      </c>
      <c r="E123" s="74" t="s">
        <v>6</v>
      </c>
      <c r="F123" s="74" t="s">
        <v>124</v>
      </c>
      <c r="G123" s="74" t="s">
        <v>125</v>
      </c>
      <c r="H123" s="74" t="s">
        <v>123</v>
      </c>
    </row>
    <row r="124" spans="1:8" x14ac:dyDescent="0.25">
      <c r="A124" s="248" t="s">
        <v>399</v>
      </c>
      <c r="B124" s="65">
        <f>IF(B10=M3,"5",IF(B10=M4,"12",IF(B10=M5,"14",IF(B10=M6,"23",IF(B10=M7,29,IF(B10=M8,10,IF(B10=M9,15,IF(B10=M10,19,IF(B10=M11,19,IF(B10=M12,20,IF(B10=M13,22,IF(B10=M14,22,0))))))))))))</f>
        <v>0</v>
      </c>
      <c r="C124" s="65">
        <f>IF(B10=M3,"7",IF(B10=M4,"13",IF(B10=M5,"16",IF(B10=M6,"28",IF(B10=M7,33,IF(B10=M8,13,IF(B10=M9,18,IF(B10=M10,22,IF(B10=M11,23,IF(B10=M12,23,IF(B10=M13,27,IF(B10=M14,30,0))))))))))))</f>
        <v>0</v>
      </c>
      <c r="D124" s="65">
        <f>IF(B10=M3,"5",IF(B10=M4,"10",IF(B10=M5,"13",IF(B10=M6,"22",IF(B10=M7,29,IF(B10=M8,15,IF(B10=M9,20,IF(B10=M10,24,IF(B10=M11,27,IF(B10=M12,30,IF(B10=M13,33,IF(B10=M14,35,0))))))))))))</f>
        <v>0</v>
      </c>
      <c r="E124" s="65">
        <f>IF(B10=M3,"Max de répétitions et minimum 7",IF(B10=M4,"Max de répétitions et minimum 15",IF(B10=M5,"Max de répétitions et minimum 19",IF(B10=M6,"Max de répétitions et minimum 25",IF(B10=M7,"Max de répétitions et minimum 33",IF(B10=M8,"Max de répétitions et minimum 25",IF(B10=M9,"Max de répétitions et minimum 30",IF(B10=M10,"Max de répétitions et minimum 35",IF(B10=M11,"Max de répétitions et minimum 37",IF(B10=M12,"Max de répétitions et minimum 53",IF(B10=M13,"Max de répétitions et minimum 58",IF(B10=M14,"Max de répétitions et minimum 59",0))))))))))))</f>
        <v>0</v>
      </c>
      <c r="F124" s="68" t="s">
        <v>131</v>
      </c>
      <c r="G124" s="68" t="s">
        <v>131</v>
      </c>
      <c r="H124" s="67"/>
    </row>
    <row r="125" spans="1:8" x14ac:dyDescent="0.25">
      <c r="A125" s="79" t="s">
        <v>157</v>
      </c>
      <c r="B125" s="68">
        <f>IF(B11=N3,"6",IF(B11=N4,"8",IF(B11=N5,"4",IF(B11=N6,"6",IF(B11=N7,9,IF(B11=N8,12,IF(B11=N9,15,IF(B11=N10,19,IF(B11=N11,25,IF(B11=N12,26,IF(B11=N13,27,0)))))))))))</f>
        <v>0</v>
      </c>
      <c r="C125" s="68">
        <f>IF(B11=N3,"5",IF(B11=N4,"7",IF(B11=N5,"5",IF(B11=N6,"9",IF(B11=N7,11,IF(B11=N8,15,IF(B11=N9,20,IF(B11=N10,25,IF(B11=N11,29,IF(B11=N12,31,IF(B11=N13,32,0)))))))))))</f>
        <v>0</v>
      </c>
      <c r="D125" s="68">
        <f>IF(B11=N3,"5",IF(B11=N4,"6",IF(B11=N5,"4",IF(B11=N6,"6",IF(B11=N7,9,IF(B11=N8,11,IF(B11=N9,14,IF(B11=N10,18,IF(B11=N11,25,IF(B11=N12,26,IF(B11=N13,26,0)))))))))))</f>
        <v>0</v>
      </c>
      <c r="E125" s="68">
        <f>IF(B11=N3,"Max de répétitions",IF(B11=N4,"Max de répétitions",IF(B11=N5,"Max de répétitions et minimum 6",IF(B11=N6,"Max de répétitions et minimum 10",IF(B11=N7,"Max de répétitions et minimum 11",IF(B11=N8,"Max de répétitions et minimum 13",IF(B11=N9,"Max de répétitions et minimum 24",IF(B11=N10,"Max de répétitions et minimum 24",IF(B11=N11,"Max de répétitions et minimum 28",IF(B11=N12,"Max de répétitions et minimum 31",IF(B11=N13,"Max de répétitions et minimum 32",0)))))))))))</f>
        <v>0</v>
      </c>
      <c r="F125" s="68" t="s">
        <v>131</v>
      </c>
      <c r="G125" s="68" t="s">
        <v>131</v>
      </c>
      <c r="H125" s="69"/>
    </row>
    <row r="126" spans="1:8" x14ac:dyDescent="0.25">
      <c r="A126" s="79" t="s">
        <v>400</v>
      </c>
      <c r="B126" s="68">
        <v>13</v>
      </c>
      <c r="C126" s="68">
        <v>13</v>
      </c>
      <c r="D126" s="68">
        <v>13</v>
      </c>
      <c r="E126" s="265">
        <v>13</v>
      </c>
      <c r="F126" s="68" t="s">
        <v>131</v>
      </c>
      <c r="G126" s="68" t="s">
        <v>131</v>
      </c>
      <c r="H126" s="69"/>
    </row>
    <row r="127" spans="1:8" x14ac:dyDescent="0.25">
      <c r="A127" s="246" t="s">
        <v>394</v>
      </c>
      <c r="B127" s="68">
        <f>IF(B13=N3,"6",IF(B13=N4,"8",IF(B13=N5,"4",IF(B13=N6,"6",IF(B13=N7,9,IF(B13=N8,12,IF(B13=N9,15,IF(B13=N10,19,IF(B13=N11,25,IF(B13=N12,26,IF(B13=N13,27,0)))))))))))</f>
        <v>0</v>
      </c>
      <c r="C127" s="68">
        <f>IF(B13=N3,"5",IF(B13=N4,"7",IF(B13=N5,"5",IF(B13=N6,"9",IF(B13=N7,11,IF(B13=N8,15,IF(B13=N9,20,IF(B13=N10,25,IF(B13=N11,29,IF(B13=N12,31,IF(B13=N13,32,0)))))))))))</f>
        <v>0</v>
      </c>
      <c r="D127" s="68">
        <f>IF(B13=N3,"5",IF(B13=N4,"6",IF(B13=N5,"4",IF(B13=N6,"6",IF(B13=N7,9,IF(B13=N8,11,IF(B13=N9,14,IF(B13=N10,18,IF(B13=N11,25,IF(B13=N12,26,IF(B13=N13,26,0)))))))))))</f>
        <v>0</v>
      </c>
      <c r="E127" s="265">
        <f>IF(B13=N3,"Max de répétitions",IF(B13=N4,"Max de répétitions",IF(B13=N5,"Max de répétitions et minimum 6",IF(B13=N6,"Max de répétitions et minimum 10",IF(B13=N7,"Max de répétitions et minimum 11",IF(B13=N8,"Max de répétitions et minimum 13",IF(B13=N9,"Max de répétitions et minimum 24",IF(B13=N10,"Max de répétitions et minimum 24",IF(B13=N11,"Max de répétitions et minimum 28",IF(B13=N12,"Max de répétitions et minimum 31",IF(B13=N13,"Max de répétitions et minimum 32",0)))))))))))</f>
        <v>0</v>
      </c>
      <c r="F127" s="68" t="s">
        <v>131</v>
      </c>
      <c r="G127" s="68" t="s">
        <v>131</v>
      </c>
      <c r="H127" s="70"/>
    </row>
    <row r="128" spans="1:8" x14ac:dyDescent="0.25">
      <c r="A128" s="79" t="s">
        <v>380</v>
      </c>
      <c r="B128" s="68">
        <v>13</v>
      </c>
      <c r="C128" s="68">
        <v>13</v>
      </c>
      <c r="D128" s="68">
        <v>13</v>
      </c>
      <c r="E128" s="112"/>
      <c r="F128" s="68" t="s">
        <v>131</v>
      </c>
      <c r="G128" s="112"/>
      <c r="H128" s="70"/>
    </row>
    <row r="129" spans="1:8" x14ac:dyDescent="0.25">
      <c r="A129" s="214" t="s">
        <v>140</v>
      </c>
      <c r="B129" s="215"/>
      <c r="C129" s="215"/>
      <c r="D129" s="215"/>
      <c r="E129" s="215"/>
      <c r="F129" s="215"/>
      <c r="G129" s="215"/>
      <c r="H129" s="215"/>
    </row>
    <row r="130" spans="1:8" x14ac:dyDescent="0.25">
      <c r="A130" s="212" t="s">
        <v>390</v>
      </c>
      <c r="B130" s="212"/>
      <c r="C130" s="212"/>
      <c r="D130" s="212"/>
      <c r="E130" s="212"/>
      <c r="F130" s="212"/>
      <c r="G130" s="212"/>
      <c r="H130" s="212"/>
    </row>
    <row r="131" spans="1:8" x14ac:dyDescent="0.25">
      <c r="A131" s="212" t="s">
        <v>388</v>
      </c>
      <c r="B131" s="212"/>
      <c r="C131" s="212"/>
      <c r="D131" s="212"/>
      <c r="E131" s="212"/>
      <c r="F131" s="212"/>
      <c r="G131" s="212"/>
      <c r="H131" s="212"/>
    </row>
    <row r="132" spans="1:8" x14ac:dyDescent="0.25">
      <c r="A132" s="212" t="s">
        <v>389</v>
      </c>
      <c r="B132" s="212"/>
      <c r="C132" s="212"/>
      <c r="D132" s="212"/>
      <c r="E132" s="212"/>
      <c r="F132" s="212"/>
      <c r="G132" s="212"/>
      <c r="H132" s="212"/>
    </row>
    <row r="133" spans="1:8" x14ac:dyDescent="0.25">
      <c r="A133" s="212" t="s">
        <v>175</v>
      </c>
      <c r="B133" s="212"/>
      <c r="C133" s="212"/>
      <c r="D133" s="212"/>
      <c r="E133" s="212"/>
      <c r="F133" s="212"/>
      <c r="G133" s="212"/>
      <c r="H133" s="212"/>
    </row>
  </sheetData>
  <sheetProtection algorithmName="SHA-512" hashValue="YFojQou1DjVYTkobWF+d2NdDQalBFIXaJrutqTHw4C/SHpBarARlkNBhicoMRRT82pornHl+XOTy/p718l6V+Q==" saltValue="zzXc/woXPRQH+w1eRr/o5A==" spinCount="100000" sheet="1" objects="1" scenarios="1"/>
  <mergeCells count="34">
    <mergeCell ref="B98:E98"/>
    <mergeCell ref="B105:E105"/>
    <mergeCell ref="A112:H112"/>
    <mergeCell ref="B113:E113"/>
    <mergeCell ref="A121:H121"/>
    <mergeCell ref="B122:E122"/>
    <mergeCell ref="A129:H129"/>
    <mergeCell ref="A130:H130"/>
    <mergeCell ref="A131:H131"/>
    <mergeCell ref="A132:H132"/>
    <mergeCell ref="A133:H133"/>
    <mergeCell ref="A79:H79"/>
    <mergeCell ref="B80:E80"/>
    <mergeCell ref="A88:H88"/>
    <mergeCell ref="B89:E89"/>
    <mergeCell ref="A96:H96"/>
    <mergeCell ref="A97:H97"/>
    <mergeCell ref="B56:E56"/>
    <mergeCell ref="A63:H63"/>
    <mergeCell ref="A64:H64"/>
    <mergeCell ref="B65:E65"/>
    <mergeCell ref="B72:E72"/>
    <mergeCell ref="B39:E39"/>
    <mergeCell ref="A46:H46"/>
    <mergeCell ref="B47:E47"/>
    <mergeCell ref="A55:H55"/>
    <mergeCell ref="A9:B9"/>
    <mergeCell ref="A16:B16"/>
    <mergeCell ref="A23:B23"/>
    <mergeCell ref="A31:H31"/>
    <mergeCell ref="B32:E32"/>
    <mergeCell ref="A2:I2"/>
    <mergeCell ref="A3:I3"/>
    <mergeCell ref="A4:I4"/>
  </mergeCells>
  <dataValidations count="3">
    <dataValidation type="list" allowBlank="1" showInputMessage="1" showErrorMessage="1" sqref="B20 B24 B26 B10" xr:uid="{F306CF7C-9312-4930-9423-C84AEF79ADF7}">
      <formula1>$M$2:$M$14</formula1>
    </dataValidation>
    <dataValidation type="list" allowBlank="1" showInputMessage="1" showErrorMessage="1" sqref="B17" xr:uid="{8335AF5F-82FF-4C2A-BEA3-E374751B29A3}">
      <formula1>$O$2:$O$16</formula1>
    </dataValidation>
    <dataValidation type="list" allowBlank="1" showInputMessage="1" showErrorMessage="1" sqref="B27:B28 B13 B21:B22 B18:B19 B25 B11" xr:uid="{3BECEF49-686F-4A4F-9CB4-796D91410CA8}">
      <formula1>$N$2:$N$13</formula1>
    </dataValidation>
  </dataValidations>
  <hyperlinks>
    <hyperlink ref="A10" r:id="rId1" xr:uid="{ED3AB969-A213-41F8-AD40-1DDFD279BAFA}"/>
    <hyperlink ref="A11" r:id="rId2" xr:uid="{F39BC9F5-F17C-47CB-8B81-FF8131944A7E}"/>
    <hyperlink ref="A12" r:id="rId3" xr:uid="{9241A24A-988F-42E8-9C88-F86D47EA9CEB}"/>
    <hyperlink ref="A13" r:id="rId4" xr:uid="{E110043A-C70C-4EC4-BF66-D96C27F2F0BD}"/>
    <hyperlink ref="A18" r:id="rId5" xr:uid="{F65F3D49-973C-47C4-A325-39BF2FE23375}"/>
    <hyperlink ref="A19" r:id="rId6" xr:uid="{231E7AEB-843D-41BE-8AA7-0B69F9F791F4}"/>
    <hyperlink ref="A20" r:id="rId7" xr:uid="{BB39B285-CDCF-425A-9205-12695C40B848}"/>
    <hyperlink ref="A17" r:id="rId8" xr:uid="{E3921DEF-E01B-4C6A-940D-42256A760852}"/>
    <hyperlink ref="A21" r:id="rId9" xr:uid="{51707196-D930-4F76-BC16-1049454C1039}"/>
    <hyperlink ref="A24" r:id="rId10" xr:uid="{5693707B-A605-46AE-9E05-EF42EC12562B}"/>
    <hyperlink ref="A27" r:id="rId11" display="Tractions australienne" xr:uid="{06DAF754-56BC-4E8B-B08D-04FBD02951C4}"/>
    <hyperlink ref="A25" r:id="rId12" xr:uid="{10DC96AF-57C7-44B2-9885-411BCD6DD154}"/>
    <hyperlink ref="A26" r:id="rId13" xr:uid="{1933837B-9D54-42F5-9730-69C460D5EAD2}"/>
    <hyperlink ref="B32" r:id="rId14" xr:uid="{302C23D1-9332-41B9-A610-BBC610EC6E2F}"/>
    <hyperlink ref="H32" r:id="rId15" xr:uid="{B5373F3C-3F57-4818-807A-9F10ED02BC90}"/>
    <hyperlink ref="A34" r:id="rId16" xr:uid="{917E9B66-5F80-482F-85EF-5460E5196DDD}"/>
    <hyperlink ref="A35" r:id="rId17" xr:uid="{8D6D60A9-9C0A-474B-A362-0F5C7B740BE6}"/>
    <hyperlink ref="A36" r:id="rId18" xr:uid="{AD62A41D-560A-4B3B-AF10-AB40222F5891}"/>
    <hyperlink ref="A37" r:id="rId19" xr:uid="{FA063F30-7BEC-4535-A460-A668ED931C5D}"/>
    <hyperlink ref="B39" r:id="rId20" xr:uid="{6D71776B-43BF-4D0D-807B-7B6D54276F2A}"/>
    <hyperlink ref="H39" r:id="rId21" xr:uid="{F348B9D2-6FFA-4338-90A0-78C49FFDA819}"/>
    <hyperlink ref="A38" r:id="rId22" xr:uid="{4F31B493-8F41-4040-8D65-AFC18030F249}"/>
    <hyperlink ref="A42" r:id="rId23" xr:uid="{5BB234ED-B281-4397-8C06-6585642F623C}"/>
    <hyperlink ref="A43" r:id="rId24" xr:uid="{AE1075C5-9347-4737-9B8E-443F2D5B0882}"/>
    <hyperlink ref="A44" r:id="rId25" xr:uid="{1F9DF4E2-9C59-4B4A-BBE1-CB1F9B8D03D1}"/>
    <hyperlink ref="A41" r:id="rId26" xr:uid="{AEA653D8-3563-4DD1-8796-3CC121A651F6}"/>
    <hyperlink ref="A45" r:id="rId27" xr:uid="{FCFC5ABF-A753-4D4F-AE33-E9D882705764}"/>
    <hyperlink ref="B47" r:id="rId28" xr:uid="{24B10A94-DDDC-4C4E-BD0B-2E856BAC2DCB}"/>
    <hyperlink ref="H47" r:id="rId29" xr:uid="{9183E9DF-C1DB-4420-BA23-355F424C4666}"/>
    <hyperlink ref="A49" r:id="rId30" xr:uid="{999443CD-5B18-428C-BF5A-5A84E96F72BD}"/>
    <hyperlink ref="A52" r:id="rId31" display="Tractions australienne" xr:uid="{4A9607D3-F618-49D4-B0B1-29D5530687F5}"/>
    <hyperlink ref="A50" r:id="rId32" xr:uid="{6404FD5F-063A-4800-8420-8F6B0962A335}"/>
    <hyperlink ref="A51" r:id="rId33" xr:uid="{0EFA23F2-0E53-4321-B50F-387CDE604A06}"/>
    <hyperlink ref="B56" r:id="rId34" xr:uid="{F1BC5542-5108-4FA8-A48C-060DE8086BD0}"/>
    <hyperlink ref="H56" r:id="rId35" xr:uid="{8DCED041-57AC-44B1-BB15-38969AB03269}"/>
    <hyperlink ref="A58" r:id="rId36" xr:uid="{3AB13B9B-0F31-4B25-8E70-F3C7D726A375}"/>
    <hyperlink ref="A59" r:id="rId37" xr:uid="{27F834D6-4886-4436-8D42-B5FFB4BC6A07}"/>
    <hyperlink ref="A60" r:id="rId38" xr:uid="{42CFF31D-19AC-4E47-8D74-94BDC2FF34A8}"/>
    <hyperlink ref="A61" r:id="rId39" xr:uid="{1859E792-316D-429E-8D8C-B00C891EBB07}"/>
    <hyperlink ref="A62" r:id="rId40" xr:uid="{0A2E0430-33FA-486C-A7BB-DACA7663EFF2}"/>
    <hyperlink ref="A28" r:id="rId41" display="Relevé de jambes suspendu ou au sol" xr:uid="{E3F9C258-5662-4815-8748-0BA0B01BD05C}"/>
    <hyperlink ref="A53" r:id="rId42" display="Relevé de jambes suspendu ou au sol" xr:uid="{8EE29ED8-96FD-4EB3-9853-A3E42921FCD8}"/>
    <hyperlink ref="B65" r:id="rId43" xr:uid="{E654AFFF-FCB9-4CE6-A566-9CA2FADEAD27}"/>
    <hyperlink ref="H65" r:id="rId44" xr:uid="{5395668E-541D-4319-93F0-C346AE4AA6A6}"/>
    <hyperlink ref="A67" r:id="rId45" xr:uid="{C38761C9-B19F-4022-9436-B56586D0A08E}"/>
    <hyperlink ref="A68" r:id="rId46" xr:uid="{96917646-3F76-46CA-A2EC-A1DE0ACC4F5F}"/>
    <hyperlink ref="A69" r:id="rId47" xr:uid="{66A456FA-99FC-4761-AB3D-837453D0480B}"/>
    <hyperlink ref="A70" r:id="rId48" xr:uid="{EA13D545-F835-4BFA-8E27-ED52C8C1463A}"/>
    <hyperlink ref="B72" r:id="rId49" xr:uid="{D04C4B3D-6145-4131-AF12-03002C1C61F4}"/>
    <hyperlink ref="H72" r:id="rId50" xr:uid="{C110F8DF-13C1-44FF-91EF-BE27C6F5DCAF}"/>
    <hyperlink ref="A71" r:id="rId51" xr:uid="{11ADD834-157D-408A-8B18-0ADFF58FA77B}"/>
    <hyperlink ref="A75" r:id="rId52" xr:uid="{0CADD6F8-859D-42FA-8C92-78D08C3809F0}"/>
    <hyperlink ref="A76" r:id="rId53" xr:uid="{3488B96F-921B-47C9-B804-1475EDA981CF}"/>
    <hyperlink ref="A77" r:id="rId54" xr:uid="{9D189BDD-BB29-4575-B52B-811990DF85BD}"/>
    <hyperlink ref="A74" r:id="rId55" xr:uid="{0FC1AEFC-157C-411F-9D93-EEA47D50C580}"/>
    <hyperlink ref="A78" r:id="rId56" xr:uid="{68A20DCB-0CD7-4D67-8299-A45B663F89E2}"/>
    <hyperlink ref="B80" r:id="rId57" xr:uid="{7585C503-4F9C-4AA3-AD1F-E2C2CA53C9A7}"/>
    <hyperlink ref="H80" r:id="rId58" xr:uid="{8152C7D8-E624-4E13-9482-6B4B5F1223E1}"/>
    <hyperlink ref="A82" r:id="rId59" xr:uid="{8B18CCF2-C210-494E-BA5C-F84F644A00CB}"/>
    <hyperlink ref="A85" r:id="rId60" display="Tractions australienne" xr:uid="{203A41F4-F3B9-47E9-8D31-F025E4EB8491}"/>
    <hyperlink ref="A83" r:id="rId61" xr:uid="{3F69FF45-5B7B-441F-8286-6577D8FE2B96}"/>
    <hyperlink ref="A84" r:id="rId62" xr:uid="{402F2FD1-CE48-450D-A6DA-FA89AD9DA9E6}"/>
    <hyperlink ref="B89" r:id="rId63" xr:uid="{039FB2AE-46D7-409E-AB29-FA740C9A138B}"/>
    <hyperlink ref="H89" r:id="rId64" xr:uid="{2B70CCA8-31FC-4155-850D-86F5679B516A}"/>
    <hyperlink ref="A91" r:id="rId65" xr:uid="{8C377768-C32F-4E57-A269-B51D006FB2EC}"/>
    <hyperlink ref="A92" r:id="rId66" xr:uid="{9D33977A-11E0-4938-A3DF-829F62F922B6}"/>
    <hyperlink ref="A93" r:id="rId67" xr:uid="{8507CAC4-D6E7-47C0-9193-1CC4E6742441}"/>
    <hyperlink ref="A94" r:id="rId68" xr:uid="{FDA4B6C8-6946-4375-BFB0-BD06BB27A6E3}"/>
    <hyperlink ref="A95" r:id="rId69" xr:uid="{02F0812C-9118-410D-BFFB-F571C8DB3FEF}"/>
    <hyperlink ref="A86" r:id="rId70" display="Relevé de jambes suspendu ou au sol" xr:uid="{059539C4-61C3-4AF4-88E7-4D7EAE5BA211}"/>
    <hyperlink ref="B98" r:id="rId71" xr:uid="{4683D39B-C2D3-4E37-A25A-A681D567F605}"/>
    <hyperlink ref="H98" r:id="rId72" xr:uid="{EF727A67-6766-4F0F-A483-60FAC42A0E0C}"/>
    <hyperlink ref="A100" r:id="rId73" xr:uid="{D6E907B5-202F-456F-BDC0-4325750323D2}"/>
    <hyperlink ref="A101" r:id="rId74" xr:uid="{08373929-EE1E-457D-91DF-C89B4F8CB6CB}"/>
    <hyperlink ref="A102" r:id="rId75" xr:uid="{54587AF5-ED5B-45FD-ABDB-F14091079511}"/>
    <hyperlink ref="A103" r:id="rId76" xr:uid="{79936B50-58CC-45DA-B325-6109BCFDC7F2}"/>
    <hyperlink ref="B105" r:id="rId77" xr:uid="{6B19B15B-7FF1-46FB-978E-07E091B4AFF7}"/>
    <hyperlink ref="H105" r:id="rId78" xr:uid="{D57CC837-3F9E-4DDB-8CA0-23C9131370A3}"/>
    <hyperlink ref="A104" r:id="rId79" xr:uid="{3F9F7CBE-716D-402E-B704-420FBB31B2CF}"/>
    <hyperlink ref="A108" r:id="rId80" xr:uid="{3AA21E92-AA05-420C-A0EB-5EF4A922BE8B}"/>
    <hyperlink ref="A109" r:id="rId81" xr:uid="{16D54ACE-2FDF-4AD6-B4A9-BC63B8699E10}"/>
    <hyperlink ref="A110" r:id="rId82" xr:uid="{AEA03024-36F5-4E34-8A6A-CB62EC318353}"/>
    <hyperlink ref="A107" r:id="rId83" xr:uid="{7C245D07-F824-444B-9BA1-F50F353DB1E8}"/>
    <hyperlink ref="A111" r:id="rId84" xr:uid="{B8E88735-9E1F-45F0-A33A-5ED2824048C9}"/>
    <hyperlink ref="B113" r:id="rId85" xr:uid="{0CE2D560-97DA-4541-A12C-1849344D189F}"/>
    <hyperlink ref="H113" r:id="rId86" xr:uid="{ACAFF078-DAC8-4C04-A649-AE32B7DA0E4F}"/>
    <hyperlink ref="A115" r:id="rId87" xr:uid="{13CDA7E5-B4B5-478C-B523-A53C08D94BF8}"/>
    <hyperlink ref="A118" r:id="rId88" display="Tractions australienne" xr:uid="{6FD3EF20-FA01-4858-9DA2-B7717A41741B}"/>
    <hyperlink ref="A116" r:id="rId89" xr:uid="{4C495C89-78C6-4A6A-87EE-32551DFDE824}"/>
    <hyperlink ref="A117" r:id="rId90" xr:uid="{DB962044-9837-47DF-8A46-89C6691EBC61}"/>
    <hyperlink ref="B122" r:id="rId91" xr:uid="{43F9BBA5-4E54-48FE-9ABF-8354D2E61794}"/>
    <hyperlink ref="H122" r:id="rId92" xr:uid="{B16C4038-38BF-4D65-9BBD-D271F1750CD5}"/>
    <hyperlink ref="A124" r:id="rId93" xr:uid="{C3473625-9F26-461E-B657-0466FFFC0095}"/>
    <hyperlink ref="A125" r:id="rId94" xr:uid="{CF49A0BD-53EF-4E17-8D0F-3824E76D08AA}"/>
    <hyperlink ref="A126" r:id="rId95" xr:uid="{8B78D123-565A-46EB-9808-EFD5303A3C6A}"/>
    <hyperlink ref="A127" r:id="rId96" xr:uid="{A3D5DA87-04F9-4B06-8B84-F3882B3E2F5B}"/>
    <hyperlink ref="A128" r:id="rId97" xr:uid="{BEDE211C-73D3-42B5-B685-991224CD01AA}"/>
    <hyperlink ref="A119" r:id="rId98" display="Relevé de jambes suspendu ou au sol" xr:uid="{808BF5C9-C851-498B-82F3-A9E7D1B08E58}"/>
  </hyperlinks>
  <pageMargins left="0.7" right="0.7" top="0.75" bottom="0.75" header="0.3" footer="0.3"/>
  <drawing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51918-6383-4BB2-9CF5-3170420A4F6D}">
  <sheetPr codeName="Feuil2"/>
  <dimension ref="A1:AI156"/>
  <sheetViews>
    <sheetView zoomScaleNormal="100" workbookViewId="0">
      <selection activeCell="B8" sqref="B8"/>
    </sheetView>
  </sheetViews>
  <sheetFormatPr baseColWidth="10" defaultRowHeight="15" x14ac:dyDescent="0.25"/>
  <cols>
    <col min="1" max="1" width="5.140625" bestFit="1" customWidth="1"/>
    <col min="2" max="2" width="9.85546875" bestFit="1" customWidth="1"/>
    <col min="3" max="3" width="13.140625" bestFit="1" customWidth="1"/>
    <col min="4" max="4" width="15.28515625" bestFit="1" customWidth="1"/>
    <col min="5" max="5" width="14.140625" bestFit="1" customWidth="1"/>
    <col min="6" max="6" width="15.5703125" bestFit="1" customWidth="1"/>
    <col min="7" max="7" width="12.28515625" bestFit="1" customWidth="1"/>
    <col min="8" max="8" width="9.7109375" bestFit="1" customWidth="1"/>
    <col min="9" max="9" width="14.42578125" bestFit="1" customWidth="1"/>
    <col min="10" max="10" width="13" bestFit="1" customWidth="1"/>
    <col min="11" max="11" width="13.85546875" bestFit="1" customWidth="1"/>
    <col min="12" max="12" width="11.28515625" bestFit="1" customWidth="1"/>
    <col min="13" max="13" width="13.5703125" style="1" customWidth="1"/>
    <col min="14" max="35" width="11.42578125" style="1"/>
    <col min="257" max="257" width="5.140625" bestFit="1" customWidth="1"/>
    <col min="258" max="258" width="9.85546875" bestFit="1" customWidth="1"/>
    <col min="259" max="259" width="13.140625" bestFit="1" customWidth="1"/>
    <col min="260" max="260" width="15.28515625" bestFit="1" customWidth="1"/>
    <col min="261" max="261" width="14.140625" bestFit="1" customWidth="1"/>
    <col min="262" max="262" width="15.5703125" bestFit="1" customWidth="1"/>
    <col min="263" max="263" width="12.28515625" bestFit="1" customWidth="1"/>
    <col min="264" max="264" width="9.7109375" bestFit="1" customWidth="1"/>
    <col min="265" max="265" width="14.42578125" bestFit="1" customWidth="1"/>
    <col min="266" max="266" width="13" bestFit="1" customWidth="1"/>
    <col min="267" max="267" width="13.85546875" bestFit="1" customWidth="1"/>
    <col min="268" max="268" width="11.28515625" bestFit="1" customWidth="1"/>
    <col min="269" max="269" width="66.5703125" bestFit="1" customWidth="1"/>
    <col min="513" max="513" width="5.140625" bestFit="1" customWidth="1"/>
    <col min="514" max="514" width="9.85546875" bestFit="1" customWidth="1"/>
    <col min="515" max="515" width="13.140625" bestFit="1" customWidth="1"/>
    <col min="516" max="516" width="15.28515625" bestFit="1" customWidth="1"/>
    <col min="517" max="517" width="14.140625" bestFit="1" customWidth="1"/>
    <col min="518" max="518" width="15.5703125" bestFit="1" customWidth="1"/>
    <col min="519" max="519" width="12.28515625" bestFit="1" customWidth="1"/>
    <col min="520" max="520" width="9.7109375" bestFit="1" customWidth="1"/>
    <col min="521" max="521" width="14.42578125" bestFit="1" customWidth="1"/>
    <col min="522" max="522" width="13" bestFit="1" customWidth="1"/>
    <col min="523" max="523" width="13.85546875" bestFit="1" customWidth="1"/>
    <col min="524" max="524" width="11.28515625" bestFit="1" customWidth="1"/>
    <col min="525" max="525" width="66.5703125" bestFit="1" customWidth="1"/>
    <col min="769" max="769" width="5.140625" bestFit="1" customWidth="1"/>
    <col min="770" max="770" width="9.85546875" bestFit="1" customWidth="1"/>
    <col min="771" max="771" width="13.140625" bestFit="1" customWidth="1"/>
    <col min="772" max="772" width="15.28515625" bestFit="1" customWidth="1"/>
    <col min="773" max="773" width="14.140625" bestFit="1" customWidth="1"/>
    <col min="774" max="774" width="15.5703125" bestFit="1" customWidth="1"/>
    <col min="775" max="775" width="12.28515625" bestFit="1" customWidth="1"/>
    <col min="776" max="776" width="9.7109375" bestFit="1" customWidth="1"/>
    <col min="777" max="777" width="14.42578125" bestFit="1" customWidth="1"/>
    <col min="778" max="778" width="13" bestFit="1" customWidth="1"/>
    <col min="779" max="779" width="13.85546875" bestFit="1" customWidth="1"/>
    <col min="780" max="780" width="11.28515625" bestFit="1" customWidth="1"/>
    <col min="781" max="781" width="66.5703125" bestFit="1" customWidth="1"/>
    <col min="1025" max="1025" width="5.140625" bestFit="1" customWidth="1"/>
    <col min="1026" max="1026" width="9.85546875" bestFit="1" customWidth="1"/>
    <col min="1027" max="1027" width="13.140625" bestFit="1" customWidth="1"/>
    <col min="1028" max="1028" width="15.28515625" bestFit="1" customWidth="1"/>
    <col min="1029" max="1029" width="14.140625" bestFit="1" customWidth="1"/>
    <col min="1030" max="1030" width="15.5703125" bestFit="1" customWidth="1"/>
    <col min="1031" max="1031" width="12.28515625" bestFit="1" customWidth="1"/>
    <col min="1032" max="1032" width="9.7109375" bestFit="1" customWidth="1"/>
    <col min="1033" max="1033" width="14.42578125" bestFit="1" customWidth="1"/>
    <col min="1034" max="1034" width="13" bestFit="1" customWidth="1"/>
    <col min="1035" max="1035" width="13.85546875" bestFit="1" customWidth="1"/>
    <col min="1036" max="1036" width="11.28515625" bestFit="1" customWidth="1"/>
    <col min="1037" max="1037" width="66.5703125" bestFit="1" customWidth="1"/>
    <col min="1281" max="1281" width="5.140625" bestFit="1" customWidth="1"/>
    <col min="1282" max="1282" width="9.85546875" bestFit="1" customWidth="1"/>
    <col min="1283" max="1283" width="13.140625" bestFit="1" customWidth="1"/>
    <col min="1284" max="1284" width="15.28515625" bestFit="1" customWidth="1"/>
    <col min="1285" max="1285" width="14.140625" bestFit="1" customWidth="1"/>
    <col min="1286" max="1286" width="15.5703125" bestFit="1" customWidth="1"/>
    <col min="1287" max="1287" width="12.28515625" bestFit="1" customWidth="1"/>
    <col min="1288" max="1288" width="9.7109375" bestFit="1" customWidth="1"/>
    <col min="1289" max="1289" width="14.42578125" bestFit="1" customWidth="1"/>
    <col min="1290" max="1290" width="13" bestFit="1" customWidth="1"/>
    <col min="1291" max="1291" width="13.85546875" bestFit="1" customWidth="1"/>
    <col min="1292" max="1292" width="11.28515625" bestFit="1" customWidth="1"/>
    <col min="1293" max="1293" width="66.5703125" bestFit="1" customWidth="1"/>
    <col min="1537" max="1537" width="5.140625" bestFit="1" customWidth="1"/>
    <col min="1538" max="1538" width="9.85546875" bestFit="1" customWidth="1"/>
    <col min="1539" max="1539" width="13.140625" bestFit="1" customWidth="1"/>
    <col min="1540" max="1540" width="15.28515625" bestFit="1" customWidth="1"/>
    <col min="1541" max="1541" width="14.140625" bestFit="1" customWidth="1"/>
    <col min="1542" max="1542" width="15.5703125" bestFit="1" customWidth="1"/>
    <col min="1543" max="1543" width="12.28515625" bestFit="1" customWidth="1"/>
    <col min="1544" max="1544" width="9.7109375" bestFit="1" customWidth="1"/>
    <col min="1545" max="1545" width="14.42578125" bestFit="1" customWidth="1"/>
    <col min="1546" max="1546" width="13" bestFit="1" customWidth="1"/>
    <col min="1547" max="1547" width="13.85546875" bestFit="1" customWidth="1"/>
    <col min="1548" max="1548" width="11.28515625" bestFit="1" customWidth="1"/>
    <col min="1549" max="1549" width="66.5703125" bestFit="1" customWidth="1"/>
    <col min="1793" max="1793" width="5.140625" bestFit="1" customWidth="1"/>
    <col min="1794" max="1794" width="9.85546875" bestFit="1" customWidth="1"/>
    <col min="1795" max="1795" width="13.140625" bestFit="1" customWidth="1"/>
    <col min="1796" max="1796" width="15.28515625" bestFit="1" customWidth="1"/>
    <col min="1797" max="1797" width="14.140625" bestFit="1" customWidth="1"/>
    <col min="1798" max="1798" width="15.5703125" bestFit="1" customWidth="1"/>
    <col min="1799" max="1799" width="12.28515625" bestFit="1" customWidth="1"/>
    <col min="1800" max="1800" width="9.7109375" bestFit="1" customWidth="1"/>
    <col min="1801" max="1801" width="14.42578125" bestFit="1" customWidth="1"/>
    <col min="1802" max="1802" width="13" bestFit="1" customWidth="1"/>
    <col min="1803" max="1803" width="13.85546875" bestFit="1" customWidth="1"/>
    <col min="1804" max="1804" width="11.28515625" bestFit="1" customWidth="1"/>
    <col min="1805" max="1805" width="66.5703125" bestFit="1" customWidth="1"/>
    <col min="2049" max="2049" width="5.140625" bestFit="1" customWidth="1"/>
    <col min="2050" max="2050" width="9.85546875" bestFit="1" customWidth="1"/>
    <col min="2051" max="2051" width="13.140625" bestFit="1" customWidth="1"/>
    <col min="2052" max="2052" width="15.28515625" bestFit="1" customWidth="1"/>
    <col min="2053" max="2053" width="14.140625" bestFit="1" customWidth="1"/>
    <col min="2054" max="2054" width="15.5703125" bestFit="1" customWidth="1"/>
    <col min="2055" max="2055" width="12.28515625" bestFit="1" customWidth="1"/>
    <col min="2056" max="2056" width="9.7109375" bestFit="1" customWidth="1"/>
    <col min="2057" max="2057" width="14.42578125" bestFit="1" customWidth="1"/>
    <col min="2058" max="2058" width="13" bestFit="1" customWidth="1"/>
    <col min="2059" max="2059" width="13.85546875" bestFit="1" customWidth="1"/>
    <col min="2060" max="2060" width="11.28515625" bestFit="1" customWidth="1"/>
    <col min="2061" max="2061" width="66.5703125" bestFit="1" customWidth="1"/>
    <col min="2305" max="2305" width="5.140625" bestFit="1" customWidth="1"/>
    <col min="2306" max="2306" width="9.85546875" bestFit="1" customWidth="1"/>
    <col min="2307" max="2307" width="13.140625" bestFit="1" customWidth="1"/>
    <col min="2308" max="2308" width="15.28515625" bestFit="1" customWidth="1"/>
    <col min="2309" max="2309" width="14.140625" bestFit="1" customWidth="1"/>
    <col min="2310" max="2310" width="15.5703125" bestFit="1" customWidth="1"/>
    <col min="2311" max="2311" width="12.28515625" bestFit="1" customWidth="1"/>
    <col min="2312" max="2312" width="9.7109375" bestFit="1" customWidth="1"/>
    <col min="2313" max="2313" width="14.42578125" bestFit="1" customWidth="1"/>
    <col min="2314" max="2314" width="13" bestFit="1" customWidth="1"/>
    <col min="2315" max="2315" width="13.85546875" bestFit="1" customWidth="1"/>
    <col min="2316" max="2316" width="11.28515625" bestFit="1" customWidth="1"/>
    <col min="2317" max="2317" width="66.5703125" bestFit="1" customWidth="1"/>
    <col min="2561" max="2561" width="5.140625" bestFit="1" customWidth="1"/>
    <col min="2562" max="2562" width="9.85546875" bestFit="1" customWidth="1"/>
    <col min="2563" max="2563" width="13.140625" bestFit="1" customWidth="1"/>
    <col min="2564" max="2564" width="15.28515625" bestFit="1" customWidth="1"/>
    <col min="2565" max="2565" width="14.140625" bestFit="1" customWidth="1"/>
    <col min="2566" max="2566" width="15.5703125" bestFit="1" customWidth="1"/>
    <col min="2567" max="2567" width="12.28515625" bestFit="1" customWidth="1"/>
    <col min="2568" max="2568" width="9.7109375" bestFit="1" customWidth="1"/>
    <col min="2569" max="2569" width="14.42578125" bestFit="1" customWidth="1"/>
    <col min="2570" max="2570" width="13" bestFit="1" customWidth="1"/>
    <col min="2571" max="2571" width="13.85546875" bestFit="1" customWidth="1"/>
    <col min="2572" max="2572" width="11.28515625" bestFit="1" customWidth="1"/>
    <col min="2573" max="2573" width="66.5703125" bestFit="1" customWidth="1"/>
    <col min="2817" max="2817" width="5.140625" bestFit="1" customWidth="1"/>
    <col min="2818" max="2818" width="9.85546875" bestFit="1" customWidth="1"/>
    <col min="2819" max="2819" width="13.140625" bestFit="1" customWidth="1"/>
    <col min="2820" max="2820" width="15.28515625" bestFit="1" customWidth="1"/>
    <col min="2821" max="2821" width="14.140625" bestFit="1" customWidth="1"/>
    <col min="2822" max="2822" width="15.5703125" bestFit="1" customWidth="1"/>
    <col min="2823" max="2823" width="12.28515625" bestFit="1" customWidth="1"/>
    <col min="2824" max="2824" width="9.7109375" bestFit="1" customWidth="1"/>
    <col min="2825" max="2825" width="14.42578125" bestFit="1" customWidth="1"/>
    <col min="2826" max="2826" width="13" bestFit="1" customWidth="1"/>
    <col min="2827" max="2827" width="13.85546875" bestFit="1" customWidth="1"/>
    <col min="2828" max="2828" width="11.28515625" bestFit="1" customWidth="1"/>
    <col min="2829" max="2829" width="66.5703125" bestFit="1" customWidth="1"/>
    <col min="3073" max="3073" width="5.140625" bestFit="1" customWidth="1"/>
    <col min="3074" max="3074" width="9.85546875" bestFit="1" customWidth="1"/>
    <col min="3075" max="3075" width="13.140625" bestFit="1" customWidth="1"/>
    <col min="3076" max="3076" width="15.28515625" bestFit="1" customWidth="1"/>
    <col min="3077" max="3077" width="14.140625" bestFit="1" customWidth="1"/>
    <col min="3078" max="3078" width="15.5703125" bestFit="1" customWidth="1"/>
    <col min="3079" max="3079" width="12.28515625" bestFit="1" customWidth="1"/>
    <col min="3080" max="3080" width="9.7109375" bestFit="1" customWidth="1"/>
    <col min="3081" max="3081" width="14.42578125" bestFit="1" customWidth="1"/>
    <col min="3082" max="3082" width="13" bestFit="1" customWidth="1"/>
    <col min="3083" max="3083" width="13.85546875" bestFit="1" customWidth="1"/>
    <col min="3084" max="3084" width="11.28515625" bestFit="1" customWidth="1"/>
    <col min="3085" max="3085" width="66.5703125" bestFit="1" customWidth="1"/>
    <col min="3329" max="3329" width="5.140625" bestFit="1" customWidth="1"/>
    <col min="3330" max="3330" width="9.85546875" bestFit="1" customWidth="1"/>
    <col min="3331" max="3331" width="13.140625" bestFit="1" customWidth="1"/>
    <col min="3332" max="3332" width="15.28515625" bestFit="1" customWidth="1"/>
    <col min="3333" max="3333" width="14.140625" bestFit="1" customWidth="1"/>
    <col min="3334" max="3334" width="15.5703125" bestFit="1" customWidth="1"/>
    <col min="3335" max="3335" width="12.28515625" bestFit="1" customWidth="1"/>
    <col min="3336" max="3336" width="9.7109375" bestFit="1" customWidth="1"/>
    <col min="3337" max="3337" width="14.42578125" bestFit="1" customWidth="1"/>
    <col min="3338" max="3338" width="13" bestFit="1" customWidth="1"/>
    <col min="3339" max="3339" width="13.85546875" bestFit="1" customWidth="1"/>
    <col min="3340" max="3340" width="11.28515625" bestFit="1" customWidth="1"/>
    <col min="3341" max="3341" width="66.5703125" bestFit="1" customWidth="1"/>
    <col min="3585" max="3585" width="5.140625" bestFit="1" customWidth="1"/>
    <col min="3586" max="3586" width="9.85546875" bestFit="1" customWidth="1"/>
    <col min="3587" max="3587" width="13.140625" bestFit="1" customWidth="1"/>
    <col min="3588" max="3588" width="15.28515625" bestFit="1" customWidth="1"/>
    <col min="3589" max="3589" width="14.140625" bestFit="1" customWidth="1"/>
    <col min="3590" max="3590" width="15.5703125" bestFit="1" customWidth="1"/>
    <col min="3591" max="3591" width="12.28515625" bestFit="1" customWidth="1"/>
    <col min="3592" max="3592" width="9.7109375" bestFit="1" customWidth="1"/>
    <col min="3593" max="3593" width="14.42578125" bestFit="1" customWidth="1"/>
    <col min="3594" max="3594" width="13" bestFit="1" customWidth="1"/>
    <col min="3595" max="3595" width="13.85546875" bestFit="1" customWidth="1"/>
    <col min="3596" max="3596" width="11.28515625" bestFit="1" customWidth="1"/>
    <col min="3597" max="3597" width="66.5703125" bestFit="1" customWidth="1"/>
    <col min="3841" max="3841" width="5.140625" bestFit="1" customWidth="1"/>
    <col min="3842" max="3842" width="9.85546875" bestFit="1" customWidth="1"/>
    <col min="3843" max="3843" width="13.140625" bestFit="1" customWidth="1"/>
    <col min="3844" max="3844" width="15.28515625" bestFit="1" customWidth="1"/>
    <col min="3845" max="3845" width="14.140625" bestFit="1" customWidth="1"/>
    <col min="3846" max="3846" width="15.5703125" bestFit="1" customWidth="1"/>
    <col min="3847" max="3847" width="12.28515625" bestFit="1" customWidth="1"/>
    <col min="3848" max="3848" width="9.7109375" bestFit="1" customWidth="1"/>
    <col min="3849" max="3849" width="14.42578125" bestFit="1" customWidth="1"/>
    <col min="3850" max="3850" width="13" bestFit="1" customWidth="1"/>
    <col min="3851" max="3851" width="13.85546875" bestFit="1" customWidth="1"/>
    <col min="3852" max="3852" width="11.28515625" bestFit="1" customWidth="1"/>
    <col min="3853" max="3853" width="66.5703125" bestFit="1" customWidth="1"/>
    <col min="4097" max="4097" width="5.140625" bestFit="1" customWidth="1"/>
    <col min="4098" max="4098" width="9.85546875" bestFit="1" customWidth="1"/>
    <col min="4099" max="4099" width="13.140625" bestFit="1" customWidth="1"/>
    <col min="4100" max="4100" width="15.28515625" bestFit="1" customWidth="1"/>
    <col min="4101" max="4101" width="14.140625" bestFit="1" customWidth="1"/>
    <col min="4102" max="4102" width="15.5703125" bestFit="1" customWidth="1"/>
    <col min="4103" max="4103" width="12.28515625" bestFit="1" customWidth="1"/>
    <col min="4104" max="4104" width="9.7109375" bestFit="1" customWidth="1"/>
    <col min="4105" max="4105" width="14.42578125" bestFit="1" customWidth="1"/>
    <col min="4106" max="4106" width="13" bestFit="1" customWidth="1"/>
    <col min="4107" max="4107" width="13.85546875" bestFit="1" customWidth="1"/>
    <col min="4108" max="4108" width="11.28515625" bestFit="1" customWidth="1"/>
    <col min="4109" max="4109" width="66.5703125" bestFit="1" customWidth="1"/>
    <col min="4353" max="4353" width="5.140625" bestFit="1" customWidth="1"/>
    <col min="4354" max="4354" width="9.85546875" bestFit="1" customWidth="1"/>
    <col min="4355" max="4355" width="13.140625" bestFit="1" customWidth="1"/>
    <col min="4356" max="4356" width="15.28515625" bestFit="1" customWidth="1"/>
    <col min="4357" max="4357" width="14.140625" bestFit="1" customWidth="1"/>
    <col min="4358" max="4358" width="15.5703125" bestFit="1" customWidth="1"/>
    <col min="4359" max="4359" width="12.28515625" bestFit="1" customWidth="1"/>
    <col min="4360" max="4360" width="9.7109375" bestFit="1" customWidth="1"/>
    <col min="4361" max="4361" width="14.42578125" bestFit="1" customWidth="1"/>
    <col min="4362" max="4362" width="13" bestFit="1" customWidth="1"/>
    <col min="4363" max="4363" width="13.85546875" bestFit="1" customWidth="1"/>
    <col min="4364" max="4364" width="11.28515625" bestFit="1" customWidth="1"/>
    <col min="4365" max="4365" width="66.5703125" bestFit="1" customWidth="1"/>
    <col min="4609" max="4609" width="5.140625" bestFit="1" customWidth="1"/>
    <col min="4610" max="4610" width="9.85546875" bestFit="1" customWidth="1"/>
    <col min="4611" max="4611" width="13.140625" bestFit="1" customWidth="1"/>
    <col min="4612" max="4612" width="15.28515625" bestFit="1" customWidth="1"/>
    <col min="4613" max="4613" width="14.140625" bestFit="1" customWidth="1"/>
    <col min="4614" max="4614" width="15.5703125" bestFit="1" customWidth="1"/>
    <col min="4615" max="4615" width="12.28515625" bestFit="1" customWidth="1"/>
    <col min="4616" max="4616" width="9.7109375" bestFit="1" customWidth="1"/>
    <col min="4617" max="4617" width="14.42578125" bestFit="1" customWidth="1"/>
    <col min="4618" max="4618" width="13" bestFit="1" customWidth="1"/>
    <col min="4619" max="4619" width="13.85546875" bestFit="1" customWidth="1"/>
    <col min="4620" max="4620" width="11.28515625" bestFit="1" customWidth="1"/>
    <col min="4621" max="4621" width="66.5703125" bestFit="1" customWidth="1"/>
    <col min="4865" max="4865" width="5.140625" bestFit="1" customWidth="1"/>
    <col min="4866" max="4866" width="9.85546875" bestFit="1" customWidth="1"/>
    <col min="4867" max="4867" width="13.140625" bestFit="1" customWidth="1"/>
    <col min="4868" max="4868" width="15.28515625" bestFit="1" customWidth="1"/>
    <col min="4869" max="4869" width="14.140625" bestFit="1" customWidth="1"/>
    <col min="4870" max="4870" width="15.5703125" bestFit="1" customWidth="1"/>
    <col min="4871" max="4871" width="12.28515625" bestFit="1" customWidth="1"/>
    <col min="4872" max="4872" width="9.7109375" bestFit="1" customWidth="1"/>
    <col min="4873" max="4873" width="14.42578125" bestFit="1" customWidth="1"/>
    <col min="4874" max="4874" width="13" bestFit="1" customWidth="1"/>
    <col min="4875" max="4875" width="13.85546875" bestFit="1" customWidth="1"/>
    <col min="4876" max="4876" width="11.28515625" bestFit="1" customWidth="1"/>
    <col min="4877" max="4877" width="66.5703125" bestFit="1" customWidth="1"/>
    <col min="5121" max="5121" width="5.140625" bestFit="1" customWidth="1"/>
    <col min="5122" max="5122" width="9.85546875" bestFit="1" customWidth="1"/>
    <col min="5123" max="5123" width="13.140625" bestFit="1" customWidth="1"/>
    <col min="5124" max="5124" width="15.28515625" bestFit="1" customWidth="1"/>
    <col min="5125" max="5125" width="14.140625" bestFit="1" customWidth="1"/>
    <col min="5126" max="5126" width="15.5703125" bestFit="1" customWidth="1"/>
    <col min="5127" max="5127" width="12.28515625" bestFit="1" customWidth="1"/>
    <col min="5128" max="5128" width="9.7109375" bestFit="1" customWidth="1"/>
    <col min="5129" max="5129" width="14.42578125" bestFit="1" customWidth="1"/>
    <col min="5130" max="5130" width="13" bestFit="1" customWidth="1"/>
    <col min="5131" max="5131" width="13.85546875" bestFit="1" customWidth="1"/>
    <col min="5132" max="5132" width="11.28515625" bestFit="1" customWidth="1"/>
    <col min="5133" max="5133" width="66.5703125" bestFit="1" customWidth="1"/>
    <col min="5377" max="5377" width="5.140625" bestFit="1" customWidth="1"/>
    <col min="5378" max="5378" width="9.85546875" bestFit="1" customWidth="1"/>
    <col min="5379" max="5379" width="13.140625" bestFit="1" customWidth="1"/>
    <col min="5380" max="5380" width="15.28515625" bestFit="1" customWidth="1"/>
    <col min="5381" max="5381" width="14.140625" bestFit="1" customWidth="1"/>
    <col min="5382" max="5382" width="15.5703125" bestFit="1" customWidth="1"/>
    <col min="5383" max="5383" width="12.28515625" bestFit="1" customWidth="1"/>
    <col min="5384" max="5384" width="9.7109375" bestFit="1" customWidth="1"/>
    <col min="5385" max="5385" width="14.42578125" bestFit="1" customWidth="1"/>
    <col min="5386" max="5386" width="13" bestFit="1" customWidth="1"/>
    <col min="5387" max="5387" width="13.85546875" bestFit="1" customWidth="1"/>
    <col min="5388" max="5388" width="11.28515625" bestFit="1" customWidth="1"/>
    <col min="5389" max="5389" width="66.5703125" bestFit="1" customWidth="1"/>
    <col min="5633" max="5633" width="5.140625" bestFit="1" customWidth="1"/>
    <col min="5634" max="5634" width="9.85546875" bestFit="1" customWidth="1"/>
    <col min="5635" max="5635" width="13.140625" bestFit="1" customWidth="1"/>
    <col min="5636" max="5636" width="15.28515625" bestFit="1" customWidth="1"/>
    <col min="5637" max="5637" width="14.140625" bestFit="1" customWidth="1"/>
    <col min="5638" max="5638" width="15.5703125" bestFit="1" customWidth="1"/>
    <col min="5639" max="5639" width="12.28515625" bestFit="1" customWidth="1"/>
    <col min="5640" max="5640" width="9.7109375" bestFit="1" customWidth="1"/>
    <col min="5641" max="5641" width="14.42578125" bestFit="1" customWidth="1"/>
    <col min="5642" max="5642" width="13" bestFit="1" customWidth="1"/>
    <col min="5643" max="5643" width="13.85546875" bestFit="1" customWidth="1"/>
    <col min="5644" max="5644" width="11.28515625" bestFit="1" customWidth="1"/>
    <col min="5645" max="5645" width="66.5703125" bestFit="1" customWidth="1"/>
    <col min="5889" max="5889" width="5.140625" bestFit="1" customWidth="1"/>
    <col min="5890" max="5890" width="9.85546875" bestFit="1" customWidth="1"/>
    <col min="5891" max="5891" width="13.140625" bestFit="1" customWidth="1"/>
    <col min="5892" max="5892" width="15.28515625" bestFit="1" customWidth="1"/>
    <col min="5893" max="5893" width="14.140625" bestFit="1" customWidth="1"/>
    <col min="5894" max="5894" width="15.5703125" bestFit="1" customWidth="1"/>
    <col min="5895" max="5895" width="12.28515625" bestFit="1" customWidth="1"/>
    <col min="5896" max="5896" width="9.7109375" bestFit="1" customWidth="1"/>
    <col min="5897" max="5897" width="14.42578125" bestFit="1" customWidth="1"/>
    <col min="5898" max="5898" width="13" bestFit="1" customWidth="1"/>
    <col min="5899" max="5899" width="13.85546875" bestFit="1" customWidth="1"/>
    <col min="5900" max="5900" width="11.28515625" bestFit="1" customWidth="1"/>
    <col min="5901" max="5901" width="66.5703125" bestFit="1" customWidth="1"/>
    <col min="6145" max="6145" width="5.140625" bestFit="1" customWidth="1"/>
    <col min="6146" max="6146" width="9.85546875" bestFit="1" customWidth="1"/>
    <col min="6147" max="6147" width="13.140625" bestFit="1" customWidth="1"/>
    <col min="6148" max="6148" width="15.28515625" bestFit="1" customWidth="1"/>
    <col min="6149" max="6149" width="14.140625" bestFit="1" customWidth="1"/>
    <col min="6150" max="6150" width="15.5703125" bestFit="1" customWidth="1"/>
    <col min="6151" max="6151" width="12.28515625" bestFit="1" customWidth="1"/>
    <col min="6152" max="6152" width="9.7109375" bestFit="1" customWidth="1"/>
    <col min="6153" max="6153" width="14.42578125" bestFit="1" customWidth="1"/>
    <col min="6154" max="6154" width="13" bestFit="1" customWidth="1"/>
    <col min="6155" max="6155" width="13.85546875" bestFit="1" customWidth="1"/>
    <col min="6156" max="6156" width="11.28515625" bestFit="1" customWidth="1"/>
    <col min="6157" max="6157" width="66.5703125" bestFit="1" customWidth="1"/>
    <col min="6401" max="6401" width="5.140625" bestFit="1" customWidth="1"/>
    <col min="6402" max="6402" width="9.85546875" bestFit="1" customWidth="1"/>
    <col min="6403" max="6403" width="13.140625" bestFit="1" customWidth="1"/>
    <col min="6404" max="6404" width="15.28515625" bestFit="1" customWidth="1"/>
    <col min="6405" max="6405" width="14.140625" bestFit="1" customWidth="1"/>
    <col min="6406" max="6406" width="15.5703125" bestFit="1" customWidth="1"/>
    <col min="6407" max="6407" width="12.28515625" bestFit="1" customWidth="1"/>
    <col min="6408" max="6408" width="9.7109375" bestFit="1" customWidth="1"/>
    <col min="6409" max="6409" width="14.42578125" bestFit="1" customWidth="1"/>
    <col min="6410" max="6410" width="13" bestFit="1" customWidth="1"/>
    <col min="6411" max="6411" width="13.85546875" bestFit="1" customWidth="1"/>
    <col min="6412" max="6412" width="11.28515625" bestFit="1" customWidth="1"/>
    <col min="6413" max="6413" width="66.5703125" bestFit="1" customWidth="1"/>
    <col min="6657" max="6657" width="5.140625" bestFit="1" customWidth="1"/>
    <col min="6658" max="6658" width="9.85546875" bestFit="1" customWidth="1"/>
    <col min="6659" max="6659" width="13.140625" bestFit="1" customWidth="1"/>
    <col min="6660" max="6660" width="15.28515625" bestFit="1" customWidth="1"/>
    <col min="6661" max="6661" width="14.140625" bestFit="1" customWidth="1"/>
    <col min="6662" max="6662" width="15.5703125" bestFit="1" customWidth="1"/>
    <col min="6663" max="6663" width="12.28515625" bestFit="1" customWidth="1"/>
    <col min="6664" max="6664" width="9.7109375" bestFit="1" customWidth="1"/>
    <col min="6665" max="6665" width="14.42578125" bestFit="1" customWidth="1"/>
    <col min="6666" max="6666" width="13" bestFit="1" customWidth="1"/>
    <col min="6667" max="6667" width="13.85546875" bestFit="1" customWidth="1"/>
    <col min="6668" max="6668" width="11.28515625" bestFit="1" customWidth="1"/>
    <col min="6669" max="6669" width="66.5703125" bestFit="1" customWidth="1"/>
    <col min="6913" max="6913" width="5.140625" bestFit="1" customWidth="1"/>
    <col min="6914" max="6914" width="9.85546875" bestFit="1" customWidth="1"/>
    <col min="6915" max="6915" width="13.140625" bestFit="1" customWidth="1"/>
    <col min="6916" max="6916" width="15.28515625" bestFit="1" customWidth="1"/>
    <col min="6917" max="6917" width="14.140625" bestFit="1" customWidth="1"/>
    <col min="6918" max="6918" width="15.5703125" bestFit="1" customWidth="1"/>
    <col min="6919" max="6919" width="12.28515625" bestFit="1" customWidth="1"/>
    <col min="6920" max="6920" width="9.7109375" bestFit="1" customWidth="1"/>
    <col min="6921" max="6921" width="14.42578125" bestFit="1" customWidth="1"/>
    <col min="6922" max="6922" width="13" bestFit="1" customWidth="1"/>
    <col min="6923" max="6923" width="13.85546875" bestFit="1" customWidth="1"/>
    <col min="6924" max="6924" width="11.28515625" bestFit="1" customWidth="1"/>
    <col min="6925" max="6925" width="66.5703125" bestFit="1" customWidth="1"/>
    <col min="7169" max="7169" width="5.140625" bestFit="1" customWidth="1"/>
    <col min="7170" max="7170" width="9.85546875" bestFit="1" customWidth="1"/>
    <col min="7171" max="7171" width="13.140625" bestFit="1" customWidth="1"/>
    <col min="7172" max="7172" width="15.28515625" bestFit="1" customWidth="1"/>
    <col min="7173" max="7173" width="14.140625" bestFit="1" customWidth="1"/>
    <col min="7174" max="7174" width="15.5703125" bestFit="1" customWidth="1"/>
    <col min="7175" max="7175" width="12.28515625" bestFit="1" customWidth="1"/>
    <col min="7176" max="7176" width="9.7109375" bestFit="1" customWidth="1"/>
    <col min="7177" max="7177" width="14.42578125" bestFit="1" customWidth="1"/>
    <col min="7178" max="7178" width="13" bestFit="1" customWidth="1"/>
    <col min="7179" max="7179" width="13.85546875" bestFit="1" customWidth="1"/>
    <col min="7180" max="7180" width="11.28515625" bestFit="1" customWidth="1"/>
    <col min="7181" max="7181" width="66.5703125" bestFit="1" customWidth="1"/>
    <col min="7425" max="7425" width="5.140625" bestFit="1" customWidth="1"/>
    <col min="7426" max="7426" width="9.85546875" bestFit="1" customWidth="1"/>
    <col min="7427" max="7427" width="13.140625" bestFit="1" customWidth="1"/>
    <col min="7428" max="7428" width="15.28515625" bestFit="1" customWidth="1"/>
    <col min="7429" max="7429" width="14.140625" bestFit="1" customWidth="1"/>
    <col min="7430" max="7430" width="15.5703125" bestFit="1" customWidth="1"/>
    <col min="7431" max="7431" width="12.28515625" bestFit="1" customWidth="1"/>
    <col min="7432" max="7432" width="9.7109375" bestFit="1" customWidth="1"/>
    <col min="7433" max="7433" width="14.42578125" bestFit="1" customWidth="1"/>
    <col min="7434" max="7434" width="13" bestFit="1" customWidth="1"/>
    <col min="7435" max="7435" width="13.85546875" bestFit="1" customWidth="1"/>
    <col min="7436" max="7436" width="11.28515625" bestFit="1" customWidth="1"/>
    <col min="7437" max="7437" width="66.5703125" bestFit="1" customWidth="1"/>
    <col min="7681" max="7681" width="5.140625" bestFit="1" customWidth="1"/>
    <col min="7682" max="7682" width="9.85546875" bestFit="1" customWidth="1"/>
    <col min="7683" max="7683" width="13.140625" bestFit="1" customWidth="1"/>
    <col min="7684" max="7684" width="15.28515625" bestFit="1" customWidth="1"/>
    <col min="7685" max="7685" width="14.140625" bestFit="1" customWidth="1"/>
    <col min="7686" max="7686" width="15.5703125" bestFit="1" customWidth="1"/>
    <col min="7687" max="7687" width="12.28515625" bestFit="1" customWidth="1"/>
    <col min="7688" max="7688" width="9.7109375" bestFit="1" customWidth="1"/>
    <col min="7689" max="7689" width="14.42578125" bestFit="1" customWidth="1"/>
    <col min="7690" max="7690" width="13" bestFit="1" customWidth="1"/>
    <col min="7691" max="7691" width="13.85546875" bestFit="1" customWidth="1"/>
    <col min="7692" max="7692" width="11.28515625" bestFit="1" customWidth="1"/>
    <col min="7693" max="7693" width="66.5703125" bestFit="1" customWidth="1"/>
    <col min="7937" max="7937" width="5.140625" bestFit="1" customWidth="1"/>
    <col min="7938" max="7938" width="9.85546875" bestFit="1" customWidth="1"/>
    <col min="7939" max="7939" width="13.140625" bestFit="1" customWidth="1"/>
    <col min="7940" max="7940" width="15.28515625" bestFit="1" customWidth="1"/>
    <col min="7941" max="7941" width="14.140625" bestFit="1" customWidth="1"/>
    <col min="7942" max="7942" width="15.5703125" bestFit="1" customWidth="1"/>
    <col min="7943" max="7943" width="12.28515625" bestFit="1" customWidth="1"/>
    <col min="7944" max="7944" width="9.7109375" bestFit="1" customWidth="1"/>
    <col min="7945" max="7945" width="14.42578125" bestFit="1" customWidth="1"/>
    <col min="7946" max="7946" width="13" bestFit="1" customWidth="1"/>
    <col min="7947" max="7947" width="13.85546875" bestFit="1" customWidth="1"/>
    <col min="7948" max="7948" width="11.28515625" bestFit="1" customWidth="1"/>
    <col min="7949" max="7949" width="66.5703125" bestFit="1" customWidth="1"/>
    <col min="8193" max="8193" width="5.140625" bestFit="1" customWidth="1"/>
    <col min="8194" max="8194" width="9.85546875" bestFit="1" customWidth="1"/>
    <col min="8195" max="8195" width="13.140625" bestFit="1" customWidth="1"/>
    <col min="8196" max="8196" width="15.28515625" bestFit="1" customWidth="1"/>
    <col min="8197" max="8197" width="14.140625" bestFit="1" customWidth="1"/>
    <col min="8198" max="8198" width="15.5703125" bestFit="1" customWidth="1"/>
    <col min="8199" max="8199" width="12.28515625" bestFit="1" customWidth="1"/>
    <col min="8200" max="8200" width="9.7109375" bestFit="1" customWidth="1"/>
    <col min="8201" max="8201" width="14.42578125" bestFit="1" customWidth="1"/>
    <col min="8202" max="8202" width="13" bestFit="1" customWidth="1"/>
    <col min="8203" max="8203" width="13.85546875" bestFit="1" customWidth="1"/>
    <col min="8204" max="8204" width="11.28515625" bestFit="1" customWidth="1"/>
    <col min="8205" max="8205" width="66.5703125" bestFit="1" customWidth="1"/>
    <col min="8449" max="8449" width="5.140625" bestFit="1" customWidth="1"/>
    <col min="8450" max="8450" width="9.85546875" bestFit="1" customWidth="1"/>
    <col min="8451" max="8451" width="13.140625" bestFit="1" customWidth="1"/>
    <col min="8452" max="8452" width="15.28515625" bestFit="1" customWidth="1"/>
    <col min="8453" max="8453" width="14.140625" bestFit="1" customWidth="1"/>
    <col min="8454" max="8454" width="15.5703125" bestFit="1" customWidth="1"/>
    <col min="8455" max="8455" width="12.28515625" bestFit="1" customWidth="1"/>
    <col min="8456" max="8456" width="9.7109375" bestFit="1" customWidth="1"/>
    <col min="8457" max="8457" width="14.42578125" bestFit="1" customWidth="1"/>
    <col min="8458" max="8458" width="13" bestFit="1" customWidth="1"/>
    <col min="8459" max="8459" width="13.85546875" bestFit="1" customWidth="1"/>
    <col min="8460" max="8460" width="11.28515625" bestFit="1" customWidth="1"/>
    <col min="8461" max="8461" width="66.5703125" bestFit="1" customWidth="1"/>
    <col min="8705" max="8705" width="5.140625" bestFit="1" customWidth="1"/>
    <col min="8706" max="8706" width="9.85546875" bestFit="1" customWidth="1"/>
    <col min="8707" max="8707" width="13.140625" bestFit="1" customWidth="1"/>
    <col min="8708" max="8708" width="15.28515625" bestFit="1" customWidth="1"/>
    <col min="8709" max="8709" width="14.140625" bestFit="1" customWidth="1"/>
    <col min="8710" max="8710" width="15.5703125" bestFit="1" customWidth="1"/>
    <col min="8711" max="8711" width="12.28515625" bestFit="1" customWidth="1"/>
    <col min="8712" max="8712" width="9.7109375" bestFit="1" customWidth="1"/>
    <col min="8713" max="8713" width="14.42578125" bestFit="1" customWidth="1"/>
    <col min="8714" max="8714" width="13" bestFit="1" customWidth="1"/>
    <col min="8715" max="8715" width="13.85546875" bestFit="1" customWidth="1"/>
    <col min="8716" max="8716" width="11.28515625" bestFit="1" customWidth="1"/>
    <col min="8717" max="8717" width="66.5703125" bestFit="1" customWidth="1"/>
    <col min="8961" max="8961" width="5.140625" bestFit="1" customWidth="1"/>
    <col min="8962" max="8962" width="9.85546875" bestFit="1" customWidth="1"/>
    <col min="8963" max="8963" width="13.140625" bestFit="1" customWidth="1"/>
    <col min="8964" max="8964" width="15.28515625" bestFit="1" customWidth="1"/>
    <col min="8965" max="8965" width="14.140625" bestFit="1" customWidth="1"/>
    <col min="8966" max="8966" width="15.5703125" bestFit="1" customWidth="1"/>
    <col min="8967" max="8967" width="12.28515625" bestFit="1" customWidth="1"/>
    <col min="8968" max="8968" width="9.7109375" bestFit="1" customWidth="1"/>
    <col min="8969" max="8969" width="14.42578125" bestFit="1" customWidth="1"/>
    <col min="8970" max="8970" width="13" bestFit="1" customWidth="1"/>
    <col min="8971" max="8971" width="13.85546875" bestFit="1" customWidth="1"/>
    <col min="8972" max="8972" width="11.28515625" bestFit="1" customWidth="1"/>
    <col min="8973" max="8973" width="66.5703125" bestFit="1" customWidth="1"/>
    <col min="9217" max="9217" width="5.140625" bestFit="1" customWidth="1"/>
    <col min="9218" max="9218" width="9.85546875" bestFit="1" customWidth="1"/>
    <col min="9219" max="9219" width="13.140625" bestFit="1" customWidth="1"/>
    <col min="9220" max="9220" width="15.28515625" bestFit="1" customWidth="1"/>
    <col min="9221" max="9221" width="14.140625" bestFit="1" customWidth="1"/>
    <col min="9222" max="9222" width="15.5703125" bestFit="1" customWidth="1"/>
    <col min="9223" max="9223" width="12.28515625" bestFit="1" customWidth="1"/>
    <col min="9224" max="9224" width="9.7109375" bestFit="1" customWidth="1"/>
    <col min="9225" max="9225" width="14.42578125" bestFit="1" customWidth="1"/>
    <col min="9226" max="9226" width="13" bestFit="1" customWidth="1"/>
    <col min="9227" max="9227" width="13.85546875" bestFit="1" customWidth="1"/>
    <col min="9228" max="9228" width="11.28515625" bestFit="1" customWidth="1"/>
    <col min="9229" max="9229" width="66.5703125" bestFit="1" customWidth="1"/>
    <col min="9473" max="9473" width="5.140625" bestFit="1" customWidth="1"/>
    <col min="9474" max="9474" width="9.85546875" bestFit="1" customWidth="1"/>
    <col min="9475" max="9475" width="13.140625" bestFit="1" customWidth="1"/>
    <col min="9476" max="9476" width="15.28515625" bestFit="1" customWidth="1"/>
    <col min="9477" max="9477" width="14.140625" bestFit="1" customWidth="1"/>
    <col min="9478" max="9478" width="15.5703125" bestFit="1" customWidth="1"/>
    <col min="9479" max="9479" width="12.28515625" bestFit="1" customWidth="1"/>
    <col min="9480" max="9480" width="9.7109375" bestFit="1" customWidth="1"/>
    <col min="9481" max="9481" width="14.42578125" bestFit="1" customWidth="1"/>
    <col min="9482" max="9482" width="13" bestFit="1" customWidth="1"/>
    <col min="9483" max="9483" width="13.85546875" bestFit="1" customWidth="1"/>
    <col min="9484" max="9484" width="11.28515625" bestFit="1" customWidth="1"/>
    <col min="9485" max="9485" width="66.5703125" bestFit="1" customWidth="1"/>
    <col min="9729" max="9729" width="5.140625" bestFit="1" customWidth="1"/>
    <col min="9730" max="9730" width="9.85546875" bestFit="1" customWidth="1"/>
    <col min="9731" max="9731" width="13.140625" bestFit="1" customWidth="1"/>
    <col min="9732" max="9732" width="15.28515625" bestFit="1" customWidth="1"/>
    <col min="9733" max="9733" width="14.140625" bestFit="1" customWidth="1"/>
    <col min="9734" max="9734" width="15.5703125" bestFit="1" customWidth="1"/>
    <col min="9735" max="9735" width="12.28515625" bestFit="1" customWidth="1"/>
    <col min="9736" max="9736" width="9.7109375" bestFit="1" customWidth="1"/>
    <col min="9737" max="9737" width="14.42578125" bestFit="1" customWidth="1"/>
    <col min="9738" max="9738" width="13" bestFit="1" customWidth="1"/>
    <col min="9739" max="9739" width="13.85546875" bestFit="1" customWidth="1"/>
    <col min="9740" max="9740" width="11.28515625" bestFit="1" customWidth="1"/>
    <col min="9741" max="9741" width="66.5703125" bestFit="1" customWidth="1"/>
    <col min="9985" max="9985" width="5.140625" bestFit="1" customWidth="1"/>
    <col min="9986" max="9986" width="9.85546875" bestFit="1" customWidth="1"/>
    <col min="9987" max="9987" width="13.140625" bestFit="1" customWidth="1"/>
    <col min="9988" max="9988" width="15.28515625" bestFit="1" customWidth="1"/>
    <col min="9989" max="9989" width="14.140625" bestFit="1" customWidth="1"/>
    <col min="9990" max="9990" width="15.5703125" bestFit="1" customWidth="1"/>
    <col min="9991" max="9991" width="12.28515625" bestFit="1" customWidth="1"/>
    <col min="9992" max="9992" width="9.7109375" bestFit="1" customWidth="1"/>
    <col min="9993" max="9993" width="14.42578125" bestFit="1" customWidth="1"/>
    <col min="9994" max="9994" width="13" bestFit="1" customWidth="1"/>
    <col min="9995" max="9995" width="13.85546875" bestFit="1" customWidth="1"/>
    <col min="9996" max="9996" width="11.28515625" bestFit="1" customWidth="1"/>
    <col min="9997" max="9997" width="66.5703125" bestFit="1" customWidth="1"/>
    <col min="10241" max="10241" width="5.140625" bestFit="1" customWidth="1"/>
    <col min="10242" max="10242" width="9.85546875" bestFit="1" customWidth="1"/>
    <col min="10243" max="10243" width="13.140625" bestFit="1" customWidth="1"/>
    <col min="10244" max="10244" width="15.28515625" bestFit="1" customWidth="1"/>
    <col min="10245" max="10245" width="14.140625" bestFit="1" customWidth="1"/>
    <col min="10246" max="10246" width="15.5703125" bestFit="1" customWidth="1"/>
    <col min="10247" max="10247" width="12.28515625" bestFit="1" customWidth="1"/>
    <col min="10248" max="10248" width="9.7109375" bestFit="1" customWidth="1"/>
    <col min="10249" max="10249" width="14.42578125" bestFit="1" customWidth="1"/>
    <col min="10250" max="10250" width="13" bestFit="1" customWidth="1"/>
    <col min="10251" max="10251" width="13.85546875" bestFit="1" customWidth="1"/>
    <col min="10252" max="10252" width="11.28515625" bestFit="1" customWidth="1"/>
    <col min="10253" max="10253" width="66.5703125" bestFit="1" customWidth="1"/>
    <col min="10497" max="10497" width="5.140625" bestFit="1" customWidth="1"/>
    <col min="10498" max="10498" width="9.85546875" bestFit="1" customWidth="1"/>
    <col min="10499" max="10499" width="13.140625" bestFit="1" customWidth="1"/>
    <col min="10500" max="10500" width="15.28515625" bestFit="1" customWidth="1"/>
    <col min="10501" max="10501" width="14.140625" bestFit="1" customWidth="1"/>
    <col min="10502" max="10502" width="15.5703125" bestFit="1" customWidth="1"/>
    <col min="10503" max="10503" width="12.28515625" bestFit="1" customWidth="1"/>
    <col min="10504" max="10504" width="9.7109375" bestFit="1" customWidth="1"/>
    <col min="10505" max="10505" width="14.42578125" bestFit="1" customWidth="1"/>
    <col min="10506" max="10506" width="13" bestFit="1" customWidth="1"/>
    <col min="10507" max="10507" width="13.85546875" bestFit="1" customWidth="1"/>
    <col min="10508" max="10508" width="11.28515625" bestFit="1" customWidth="1"/>
    <col min="10509" max="10509" width="66.5703125" bestFit="1" customWidth="1"/>
    <col min="10753" max="10753" width="5.140625" bestFit="1" customWidth="1"/>
    <col min="10754" max="10754" width="9.85546875" bestFit="1" customWidth="1"/>
    <col min="10755" max="10755" width="13.140625" bestFit="1" customWidth="1"/>
    <col min="10756" max="10756" width="15.28515625" bestFit="1" customWidth="1"/>
    <col min="10757" max="10757" width="14.140625" bestFit="1" customWidth="1"/>
    <col min="10758" max="10758" width="15.5703125" bestFit="1" customWidth="1"/>
    <col min="10759" max="10759" width="12.28515625" bestFit="1" customWidth="1"/>
    <col min="10760" max="10760" width="9.7109375" bestFit="1" customWidth="1"/>
    <col min="10761" max="10761" width="14.42578125" bestFit="1" customWidth="1"/>
    <col min="10762" max="10762" width="13" bestFit="1" customWidth="1"/>
    <col min="10763" max="10763" width="13.85546875" bestFit="1" customWidth="1"/>
    <col min="10764" max="10764" width="11.28515625" bestFit="1" customWidth="1"/>
    <col min="10765" max="10765" width="66.5703125" bestFit="1" customWidth="1"/>
    <col min="11009" max="11009" width="5.140625" bestFit="1" customWidth="1"/>
    <col min="11010" max="11010" width="9.85546875" bestFit="1" customWidth="1"/>
    <col min="11011" max="11011" width="13.140625" bestFit="1" customWidth="1"/>
    <col min="11012" max="11012" width="15.28515625" bestFit="1" customWidth="1"/>
    <col min="11013" max="11013" width="14.140625" bestFit="1" customWidth="1"/>
    <col min="11014" max="11014" width="15.5703125" bestFit="1" customWidth="1"/>
    <col min="11015" max="11015" width="12.28515625" bestFit="1" customWidth="1"/>
    <col min="11016" max="11016" width="9.7109375" bestFit="1" customWidth="1"/>
    <col min="11017" max="11017" width="14.42578125" bestFit="1" customWidth="1"/>
    <col min="11018" max="11018" width="13" bestFit="1" customWidth="1"/>
    <col min="11019" max="11019" width="13.85546875" bestFit="1" customWidth="1"/>
    <col min="11020" max="11020" width="11.28515625" bestFit="1" customWidth="1"/>
    <col min="11021" max="11021" width="66.5703125" bestFit="1" customWidth="1"/>
    <col min="11265" max="11265" width="5.140625" bestFit="1" customWidth="1"/>
    <col min="11266" max="11266" width="9.85546875" bestFit="1" customWidth="1"/>
    <col min="11267" max="11267" width="13.140625" bestFit="1" customWidth="1"/>
    <col min="11268" max="11268" width="15.28515625" bestFit="1" customWidth="1"/>
    <col min="11269" max="11269" width="14.140625" bestFit="1" customWidth="1"/>
    <col min="11270" max="11270" width="15.5703125" bestFit="1" customWidth="1"/>
    <col min="11271" max="11271" width="12.28515625" bestFit="1" customWidth="1"/>
    <col min="11272" max="11272" width="9.7109375" bestFit="1" customWidth="1"/>
    <col min="11273" max="11273" width="14.42578125" bestFit="1" customWidth="1"/>
    <col min="11274" max="11274" width="13" bestFit="1" customWidth="1"/>
    <col min="11275" max="11275" width="13.85546875" bestFit="1" customWidth="1"/>
    <col min="11276" max="11276" width="11.28515625" bestFit="1" customWidth="1"/>
    <col min="11277" max="11277" width="66.5703125" bestFit="1" customWidth="1"/>
    <col min="11521" max="11521" width="5.140625" bestFit="1" customWidth="1"/>
    <col min="11522" max="11522" width="9.85546875" bestFit="1" customWidth="1"/>
    <col min="11523" max="11523" width="13.140625" bestFit="1" customWidth="1"/>
    <col min="11524" max="11524" width="15.28515625" bestFit="1" customWidth="1"/>
    <col min="11525" max="11525" width="14.140625" bestFit="1" customWidth="1"/>
    <col min="11526" max="11526" width="15.5703125" bestFit="1" customWidth="1"/>
    <col min="11527" max="11527" width="12.28515625" bestFit="1" customWidth="1"/>
    <col min="11528" max="11528" width="9.7109375" bestFit="1" customWidth="1"/>
    <col min="11529" max="11529" width="14.42578125" bestFit="1" customWidth="1"/>
    <col min="11530" max="11530" width="13" bestFit="1" customWidth="1"/>
    <col min="11531" max="11531" width="13.85546875" bestFit="1" customWidth="1"/>
    <col min="11532" max="11532" width="11.28515625" bestFit="1" customWidth="1"/>
    <col min="11533" max="11533" width="66.5703125" bestFit="1" customWidth="1"/>
    <col min="11777" max="11777" width="5.140625" bestFit="1" customWidth="1"/>
    <col min="11778" max="11778" width="9.85546875" bestFit="1" customWidth="1"/>
    <col min="11779" max="11779" width="13.140625" bestFit="1" customWidth="1"/>
    <col min="11780" max="11780" width="15.28515625" bestFit="1" customWidth="1"/>
    <col min="11781" max="11781" width="14.140625" bestFit="1" customWidth="1"/>
    <col min="11782" max="11782" width="15.5703125" bestFit="1" customWidth="1"/>
    <col min="11783" max="11783" width="12.28515625" bestFit="1" customWidth="1"/>
    <col min="11784" max="11784" width="9.7109375" bestFit="1" customWidth="1"/>
    <col min="11785" max="11785" width="14.42578125" bestFit="1" customWidth="1"/>
    <col min="11786" max="11786" width="13" bestFit="1" customWidth="1"/>
    <col min="11787" max="11787" width="13.85546875" bestFit="1" customWidth="1"/>
    <col min="11788" max="11788" width="11.28515625" bestFit="1" customWidth="1"/>
    <col min="11789" max="11789" width="66.5703125" bestFit="1" customWidth="1"/>
    <col min="12033" max="12033" width="5.140625" bestFit="1" customWidth="1"/>
    <col min="12034" max="12034" width="9.85546875" bestFit="1" customWidth="1"/>
    <col min="12035" max="12035" width="13.140625" bestFit="1" customWidth="1"/>
    <col min="12036" max="12036" width="15.28515625" bestFit="1" customWidth="1"/>
    <col min="12037" max="12037" width="14.140625" bestFit="1" customWidth="1"/>
    <col min="12038" max="12038" width="15.5703125" bestFit="1" customWidth="1"/>
    <col min="12039" max="12039" width="12.28515625" bestFit="1" customWidth="1"/>
    <col min="12040" max="12040" width="9.7109375" bestFit="1" customWidth="1"/>
    <col min="12041" max="12041" width="14.42578125" bestFit="1" customWidth="1"/>
    <col min="12042" max="12042" width="13" bestFit="1" customWidth="1"/>
    <col min="12043" max="12043" width="13.85546875" bestFit="1" customWidth="1"/>
    <col min="12044" max="12044" width="11.28515625" bestFit="1" customWidth="1"/>
    <col min="12045" max="12045" width="66.5703125" bestFit="1" customWidth="1"/>
    <col min="12289" max="12289" width="5.140625" bestFit="1" customWidth="1"/>
    <col min="12290" max="12290" width="9.85546875" bestFit="1" customWidth="1"/>
    <col min="12291" max="12291" width="13.140625" bestFit="1" customWidth="1"/>
    <col min="12292" max="12292" width="15.28515625" bestFit="1" customWidth="1"/>
    <col min="12293" max="12293" width="14.140625" bestFit="1" customWidth="1"/>
    <col min="12294" max="12294" width="15.5703125" bestFit="1" customWidth="1"/>
    <col min="12295" max="12295" width="12.28515625" bestFit="1" customWidth="1"/>
    <col min="12296" max="12296" width="9.7109375" bestFit="1" customWidth="1"/>
    <col min="12297" max="12297" width="14.42578125" bestFit="1" customWidth="1"/>
    <col min="12298" max="12298" width="13" bestFit="1" customWidth="1"/>
    <col min="12299" max="12299" width="13.85546875" bestFit="1" customWidth="1"/>
    <col min="12300" max="12300" width="11.28515625" bestFit="1" customWidth="1"/>
    <col min="12301" max="12301" width="66.5703125" bestFit="1" customWidth="1"/>
    <col min="12545" max="12545" width="5.140625" bestFit="1" customWidth="1"/>
    <col min="12546" max="12546" width="9.85546875" bestFit="1" customWidth="1"/>
    <col min="12547" max="12547" width="13.140625" bestFit="1" customWidth="1"/>
    <col min="12548" max="12548" width="15.28515625" bestFit="1" customWidth="1"/>
    <col min="12549" max="12549" width="14.140625" bestFit="1" customWidth="1"/>
    <col min="12550" max="12550" width="15.5703125" bestFit="1" customWidth="1"/>
    <col min="12551" max="12551" width="12.28515625" bestFit="1" customWidth="1"/>
    <col min="12552" max="12552" width="9.7109375" bestFit="1" customWidth="1"/>
    <col min="12553" max="12553" width="14.42578125" bestFit="1" customWidth="1"/>
    <col min="12554" max="12554" width="13" bestFit="1" customWidth="1"/>
    <col min="12555" max="12555" width="13.85546875" bestFit="1" customWidth="1"/>
    <col min="12556" max="12556" width="11.28515625" bestFit="1" customWidth="1"/>
    <col min="12557" max="12557" width="66.5703125" bestFit="1" customWidth="1"/>
    <col min="12801" max="12801" width="5.140625" bestFit="1" customWidth="1"/>
    <col min="12802" max="12802" width="9.85546875" bestFit="1" customWidth="1"/>
    <col min="12803" max="12803" width="13.140625" bestFit="1" customWidth="1"/>
    <col min="12804" max="12804" width="15.28515625" bestFit="1" customWidth="1"/>
    <col min="12805" max="12805" width="14.140625" bestFit="1" customWidth="1"/>
    <col min="12806" max="12806" width="15.5703125" bestFit="1" customWidth="1"/>
    <col min="12807" max="12807" width="12.28515625" bestFit="1" customWidth="1"/>
    <col min="12808" max="12808" width="9.7109375" bestFit="1" customWidth="1"/>
    <col min="12809" max="12809" width="14.42578125" bestFit="1" customWidth="1"/>
    <col min="12810" max="12810" width="13" bestFit="1" customWidth="1"/>
    <col min="12811" max="12811" width="13.85546875" bestFit="1" customWidth="1"/>
    <col min="12812" max="12812" width="11.28515625" bestFit="1" customWidth="1"/>
    <col min="12813" max="12813" width="66.5703125" bestFit="1" customWidth="1"/>
    <col min="13057" max="13057" width="5.140625" bestFit="1" customWidth="1"/>
    <col min="13058" max="13058" width="9.85546875" bestFit="1" customWidth="1"/>
    <col min="13059" max="13059" width="13.140625" bestFit="1" customWidth="1"/>
    <col min="13060" max="13060" width="15.28515625" bestFit="1" customWidth="1"/>
    <col min="13061" max="13061" width="14.140625" bestFit="1" customWidth="1"/>
    <col min="13062" max="13062" width="15.5703125" bestFit="1" customWidth="1"/>
    <col min="13063" max="13063" width="12.28515625" bestFit="1" customWidth="1"/>
    <col min="13064" max="13064" width="9.7109375" bestFit="1" customWidth="1"/>
    <col min="13065" max="13065" width="14.42578125" bestFit="1" customWidth="1"/>
    <col min="13066" max="13066" width="13" bestFit="1" customWidth="1"/>
    <col min="13067" max="13067" width="13.85546875" bestFit="1" customWidth="1"/>
    <col min="13068" max="13068" width="11.28515625" bestFit="1" customWidth="1"/>
    <col min="13069" max="13069" width="66.5703125" bestFit="1" customWidth="1"/>
    <col min="13313" max="13313" width="5.140625" bestFit="1" customWidth="1"/>
    <col min="13314" max="13314" width="9.85546875" bestFit="1" customWidth="1"/>
    <col min="13315" max="13315" width="13.140625" bestFit="1" customWidth="1"/>
    <col min="13316" max="13316" width="15.28515625" bestFit="1" customWidth="1"/>
    <col min="13317" max="13317" width="14.140625" bestFit="1" customWidth="1"/>
    <col min="13318" max="13318" width="15.5703125" bestFit="1" customWidth="1"/>
    <col min="13319" max="13319" width="12.28515625" bestFit="1" customWidth="1"/>
    <col min="13320" max="13320" width="9.7109375" bestFit="1" customWidth="1"/>
    <col min="13321" max="13321" width="14.42578125" bestFit="1" customWidth="1"/>
    <col min="13322" max="13322" width="13" bestFit="1" customWidth="1"/>
    <col min="13323" max="13323" width="13.85546875" bestFit="1" customWidth="1"/>
    <col min="13324" max="13324" width="11.28515625" bestFit="1" customWidth="1"/>
    <col min="13325" max="13325" width="66.5703125" bestFit="1" customWidth="1"/>
    <col min="13569" max="13569" width="5.140625" bestFit="1" customWidth="1"/>
    <col min="13570" max="13570" width="9.85546875" bestFit="1" customWidth="1"/>
    <col min="13571" max="13571" width="13.140625" bestFit="1" customWidth="1"/>
    <col min="13572" max="13572" width="15.28515625" bestFit="1" customWidth="1"/>
    <col min="13573" max="13573" width="14.140625" bestFit="1" customWidth="1"/>
    <col min="13574" max="13574" width="15.5703125" bestFit="1" customWidth="1"/>
    <col min="13575" max="13575" width="12.28515625" bestFit="1" customWidth="1"/>
    <col min="13576" max="13576" width="9.7109375" bestFit="1" customWidth="1"/>
    <col min="13577" max="13577" width="14.42578125" bestFit="1" customWidth="1"/>
    <col min="13578" max="13578" width="13" bestFit="1" customWidth="1"/>
    <col min="13579" max="13579" width="13.85546875" bestFit="1" customWidth="1"/>
    <col min="13580" max="13580" width="11.28515625" bestFit="1" customWidth="1"/>
    <col min="13581" max="13581" width="66.5703125" bestFit="1" customWidth="1"/>
    <col min="13825" max="13825" width="5.140625" bestFit="1" customWidth="1"/>
    <col min="13826" max="13826" width="9.85546875" bestFit="1" customWidth="1"/>
    <col min="13827" max="13827" width="13.140625" bestFit="1" customWidth="1"/>
    <col min="13828" max="13828" width="15.28515625" bestFit="1" customWidth="1"/>
    <col min="13829" max="13829" width="14.140625" bestFit="1" customWidth="1"/>
    <col min="13830" max="13830" width="15.5703125" bestFit="1" customWidth="1"/>
    <col min="13831" max="13831" width="12.28515625" bestFit="1" customWidth="1"/>
    <col min="13832" max="13832" width="9.7109375" bestFit="1" customWidth="1"/>
    <col min="13833" max="13833" width="14.42578125" bestFit="1" customWidth="1"/>
    <col min="13834" max="13834" width="13" bestFit="1" customWidth="1"/>
    <col min="13835" max="13835" width="13.85546875" bestFit="1" customWidth="1"/>
    <col min="13836" max="13836" width="11.28515625" bestFit="1" customWidth="1"/>
    <col min="13837" max="13837" width="66.5703125" bestFit="1" customWidth="1"/>
    <col min="14081" max="14081" width="5.140625" bestFit="1" customWidth="1"/>
    <col min="14082" max="14082" width="9.85546875" bestFit="1" customWidth="1"/>
    <col min="14083" max="14083" width="13.140625" bestFit="1" customWidth="1"/>
    <col min="14084" max="14084" width="15.28515625" bestFit="1" customWidth="1"/>
    <col min="14085" max="14085" width="14.140625" bestFit="1" customWidth="1"/>
    <col min="14086" max="14086" width="15.5703125" bestFit="1" customWidth="1"/>
    <col min="14087" max="14087" width="12.28515625" bestFit="1" customWidth="1"/>
    <col min="14088" max="14088" width="9.7109375" bestFit="1" customWidth="1"/>
    <col min="14089" max="14089" width="14.42578125" bestFit="1" customWidth="1"/>
    <col min="14090" max="14090" width="13" bestFit="1" customWidth="1"/>
    <col min="14091" max="14091" width="13.85546875" bestFit="1" customWidth="1"/>
    <col min="14092" max="14092" width="11.28515625" bestFit="1" customWidth="1"/>
    <col min="14093" max="14093" width="66.5703125" bestFit="1" customWidth="1"/>
    <col min="14337" max="14337" width="5.140625" bestFit="1" customWidth="1"/>
    <col min="14338" max="14338" width="9.85546875" bestFit="1" customWidth="1"/>
    <col min="14339" max="14339" width="13.140625" bestFit="1" customWidth="1"/>
    <col min="14340" max="14340" width="15.28515625" bestFit="1" customWidth="1"/>
    <col min="14341" max="14341" width="14.140625" bestFit="1" customWidth="1"/>
    <col min="14342" max="14342" width="15.5703125" bestFit="1" customWidth="1"/>
    <col min="14343" max="14343" width="12.28515625" bestFit="1" customWidth="1"/>
    <col min="14344" max="14344" width="9.7109375" bestFit="1" customWidth="1"/>
    <col min="14345" max="14345" width="14.42578125" bestFit="1" customWidth="1"/>
    <col min="14346" max="14346" width="13" bestFit="1" customWidth="1"/>
    <col min="14347" max="14347" width="13.85546875" bestFit="1" customWidth="1"/>
    <col min="14348" max="14348" width="11.28515625" bestFit="1" customWidth="1"/>
    <col min="14349" max="14349" width="66.5703125" bestFit="1" customWidth="1"/>
    <col min="14593" max="14593" width="5.140625" bestFit="1" customWidth="1"/>
    <col min="14594" max="14594" width="9.85546875" bestFit="1" customWidth="1"/>
    <col min="14595" max="14595" width="13.140625" bestFit="1" customWidth="1"/>
    <col min="14596" max="14596" width="15.28515625" bestFit="1" customWidth="1"/>
    <col min="14597" max="14597" width="14.140625" bestFit="1" customWidth="1"/>
    <col min="14598" max="14598" width="15.5703125" bestFit="1" customWidth="1"/>
    <col min="14599" max="14599" width="12.28515625" bestFit="1" customWidth="1"/>
    <col min="14600" max="14600" width="9.7109375" bestFit="1" customWidth="1"/>
    <col min="14601" max="14601" width="14.42578125" bestFit="1" customWidth="1"/>
    <col min="14602" max="14602" width="13" bestFit="1" customWidth="1"/>
    <col min="14603" max="14603" width="13.85546875" bestFit="1" customWidth="1"/>
    <col min="14604" max="14604" width="11.28515625" bestFit="1" customWidth="1"/>
    <col min="14605" max="14605" width="66.5703125" bestFit="1" customWidth="1"/>
    <col min="14849" max="14849" width="5.140625" bestFit="1" customWidth="1"/>
    <col min="14850" max="14850" width="9.85546875" bestFit="1" customWidth="1"/>
    <col min="14851" max="14851" width="13.140625" bestFit="1" customWidth="1"/>
    <col min="14852" max="14852" width="15.28515625" bestFit="1" customWidth="1"/>
    <col min="14853" max="14853" width="14.140625" bestFit="1" customWidth="1"/>
    <col min="14854" max="14854" width="15.5703125" bestFit="1" customWidth="1"/>
    <col min="14855" max="14855" width="12.28515625" bestFit="1" customWidth="1"/>
    <col min="14856" max="14856" width="9.7109375" bestFit="1" customWidth="1"/>
    <col min="14857" max="14857" width="14.42578125" bestFit="1" customWidth="1"/>
    <col min="14858" max="14858" width="13" bestFit="1" customWidth="1"/>
    <col min="14859" max="14859" width="13.85546875" bestFit="1" customWidth="1"/>
    <col min="14860" max="14860" width="11.28515625" bestFit="1" customWidth="1"/>
    <col min="14861" max="14861" width="66.5703125" bestFit="1" customWidth="1"/>
    <col min="15105" max="15105" width="5.140625" bestFit="1" customWidth="1"/>
    <col min="15106" max="15106" width="9.85546875" bestFit="1" customWidth="1"/>
    <col min="15107" max="15107" width="13.140625" bestFit="1" customWidth="1"/>
    <col min="15108" max="15108" width="15.28515625" bestFit="1" customWidth="1"/>
    <col min="15109" max="15109" width="14.140625" bestFit="1" customWidth="1"/>
    <col min="15110" max="15110" width="15.5703125" bestFit="1" customWidth="1"/>
    <col min="15111" max="15111" width="12.28515625" bestFit="1" customWidth="1"/>
    <col min="15112" max="15112" width="9.7109375" bestFit="1" customWidth="1"/>
    <col min="15113" max="15113" width="14.42578125" bestFit="1" customWidth="1"/>
    <col min="15114" max="15114" width="13" bestFit="1" customWidth="1"/>
    <col min="15115" max="15115" width="13.85546875" bestFit="1" customWidth="1"/>
    <col min="15116" max="15116" width="11.28515625" bestFit="1" customWidth="1"/>
    <col min="15117" max="15117" width="66.5703125" bestFit="1" customWidth="1"/>
    <col min="15361" max="15361" width="5.140625" bestFit="1" customWidth="1"/>
    <col min="15362" max="15362" width="9.85546875" bestFit="1" customWidth="1"/>
    <col min="15363" max="15363" width="13.140625" bestFit="1" customWidth="1"/>
    <col min="15364" max="15364" width="15.28515625" bestFit="1" customWidth="1"/>
    <col min="15365" max="15365" width="14.140625" bestFit="1" customWidth="1"/>
    <col min="15366" max="15366" width="15.5703125" bestFit="1" customWidth="1"/>
    <col min="15367" max="15367" width="12.28515625" bestFit="1" customWidth="1"/>
    <col min="15368" max="15368" width="9.7109375" bestFit="1" customWidth="1"/>
    <col min="15369" max="15369" width="14.42578125" bestFit="1" customWidth="1"/>
    <col min="15370" max="15370" width="13" bestFit="1" customWidth="1"/>
    <col min="15371" max="15371" width="13.85546875" bestFit="1" customWidth="1"/>
    <col min="15372" max="15372" width="11.28515625" bestFit="1" customWidth="1"/>
    <col min="15373" max="15373" width="66.5703125" bestFit="1" customWidth="1"/>
    <col min="15617" max="15617" width="5.140625" bestFit="1" customWidth="1"/>
    <col min="15618" max="15618" width="9.85546875" bestFit="1" customWidth="1"/>
    <col min="15619" max="15619" width="13.140625" bestFit="1" customWidth="1"/>
    <col min="15620" max="15620" width="15.28515625" bestFit="1" customWidth="1"/>
    <col min="15621" max="15621" width="14.140625" bestFit="1" customWidth="1"/>
    <col min="15622" max="15622" width="15.5703125" bestFit="1" customWidth="1"/>
    <col min="15623" max="15623" width="12.28515625" bestFit="1" customWidth="1"/>
    <col min="15624" max="15624" width="9.7109375" bestFit="1" customWidth="1"/>
    <col min="15625" max="15625" width="14.42578125" bestFit="1" customWidth="1"/>
    <col min="15626" max="15626" width="13" bestFit="1" customWidth="1"/>
    <col min="15627" max="15627" width="13.85546875" bestFit="1" customWidth="1"/>
    <col min="15628" max="15628" width="11.28515625" bestFit="1" customWidth="1"/>
    <col min="15629" max="15629" width="66.5703125" bestFit="1" customWidth="1"/>
    <col min="15873" max="15873" width="5.140625" bestFit="1" customWidth="1"/>
    <col min="15874" max="15874" width="9.85546875" bestFit="1" customWidth="1"/>
    <col min="15875" max="15875" width="13.140625" bestFit="1" customWidth="1"/>
    <col min="15876" max="15876" width="15.28515625" bestFit="1" customWidth="1"/>
    <col min="15877" max="15877" width="14.140625" bestFit="1" customWidth="1"/>
    <col min="15878" max="15878" width="15.5703125" bestFit="1" customWidth="1"/>
    <col min="15879" max="15879" width="12.28515625" bestFit="1" customWidth="1"/>
    <col min="15880" max="15880" width="9.7109375" bestFit="1" customWidth="1"/>
    <col min="15881" max="15881" width="14.42578125" bestFit="1" customWidth="1"/>
    <col min="15882" max="15882" width="13" bestFit="1" customWidth="1"/>
    <col min="15883" max="15883" width="13.85546875" bestFit="1" customWidth="1"/>
    <col min="15884" max="15884" width="11.28515625" bestFit="1" customWidth="1"/>
    <col min="15885" max="15885" width="66.5703125" bestFit="1" customWidth="1"/>
    <col min="16129" max="16129" width="5.140625" bestFit="1" customWidth="1"/>
    <col min="16130" max="16130" width="9.85546875" bestFit="1" customWidth="1"/>
    <col min="16131" max="16131" width="13.140625" bestFit="1" customWidth="1"/>
    <col min="16132" max="16132" width="15.28515625" bestFit="1" customWidth="1"/>
    <col min="16133" max="16133" width="14.140625" bestFit="1" customWidth="1"/>
    <col min="16134" max="16134" width="15.5703125" bestFit="1" customWidth="1"/>
    <col min="16135" max="16135" width="12.28515625" bestFit="1" customWidth="1"/>
    <col min="16136" max="16136" width="9.7109375" bestFit="1" customWidth="1"/>
    <col min="16137" max="16137" width="14.42578125" bestFit="1" customWidth="1"/>
    <col min="16138" max="16138" width="13" bestFit="1" customWidth="1"/>
    <col min="16139" max="16139" width="13.85546875" bestFit="1" customWidth="1"/>
    <col min="16140" max="16140" width="11.28515625" bestFit="1" customWidth="1"/>
    <col min="16141" max="16141" width="66.5703125" bestFit="1" customWidth="1"/>
  </cols>
  <sheetData>
    <row r="1" spans="1:35" ht="24.75" customHeight="1" x14ac:dyDescent="0.25">
      <c r="A1" s="191" t="s">
        <v>254</v>
      </c>
      <c r="B1" s="191"/>
      <c r="C1" s="191"/>
      <c r="D1" s="191"/>
      <c r="E1" s="191"/>
      <c r="F1" s="191"/>
      <c r="G1" s="191"/>
      <c r="H1" s="191"/>
      <c r="I1" s="191"/>
      <c r="J1" s="191"/>
      <c r="K1" s="191"/>
      <c r="L1" s="191"/>
      <c r="N1" s="11" t="s">
        <v>269</v>
      </c>
    </row>
    <row r="2" spans="1:35" x14ac:dyDescent="0.25">
      <c r="A2" s="190" t="s">
        <v>266</v>
      </c>
      <c r="B2" s="190"/>
      <c r="C2" s="190"/>
      <c r="D2" s="190"/>
      <c r="E2" s="190"/>
      <c r="F2" s="190"/>
      <c r="G2" s="190"/>
      <c r="H2" s="190"/>
      <c r="I2" s="190"/>
      <c r="J2" s="190"/>
      <c r="K2" s="190"/>
      <c r="L2" s="190"/>
      <c r="N2" s="8" t="s">
        <v>181</v>
      </c>
    </row>
    <row r="3" spans="1:35" x14ac:dyDescent="0.25">
      <c r="A3" s="190" t="s">
        <v>180</v>
      </c>
      <c r="B3" s="190"/>
      <c r="C3" s="190"/>
      <c r="D3" s="190"/>
      <c r="E3" s="190"/>
      <c r="F3" s="190"/>
      <c r="G3" s="190"/>
      <c r="H3" s="190"/>
      <c r="I3" s="190"/>
      <c r="J3" s="190"/>
      <c r="K3" s="190"/>
      <c r="L3" s="190"/>
      <c r="N3" s="8" t="s">
        <v>182</v>
      </c>
    </row>
    <row r="4" spans="1:35" x14ac:dyDescent="0.25">
      <c r="A4" s="190" t="s">
        <v>267</v>
      </c>
      <c r="B4" s="190"/>
      <c r="C4" s="190"/>
      <c r="D4" s="190"/>
      <c r="E4" s="190"/>
      <c r="F4" s="190"/>
      <c r="G4" s="190"/>
      <c r="H4" s="190"/>
      <c r="I4" s="190"/>
      <c r="J4" s="190"/>
      <c r="K4" s="190"/>
      <c r="L4" s="190"/>
      <c r="N4" s="8" t="s">
        <v>183</v>
      </c>
    </row>
    <row r="5" spans="1:35" ht="15.75" thickBot="1" x14ac:dyDescent="0.3">
      <c r="A5" s="2"/>
      <c r="B5" s="2"/>
      <c r="C5" s="2"/>
      <c r="D5" s="2"/>
      <c r="E5" s="2"/>
      <c r="F5" s="2"/>
      <c r="G5" s="2"/>
      <c r="H5" s="2"/>
      <c r="I5" s="2"/>
      <c r="J5" s="1"/>
      <c r="K5" s="1"/>
      <c r="L5" s="1"/>
      <c r="N5" s="11" t="s">
        <v>184</v>
      </c>
    </row>
    <row r="6" spans="1:35" x14ac:dyDescent="0.25">
      <c r="A6" s="196" t="s">
        <v>255</v>
      </c>
      <c r="B6" s="198" t="s">
        <v>251</v>
      </c>
      <c r="C6" s="192" t="s">
        <v>256</v>
      </c>
      <c r="D6" s="192" t="s">
        <v>257</v>
      </c>
      <c r="E6" s="192" t="s">
        <v>258</v>
      </c>
      <c r="F6" s="192" t="s">
        <v>259</v>
      </c>
      <c r="G6" s="192" t="s">
        <v>260</v>
      </c>
      <c r="H6" s="192" t="s">
        <v>261</v>
      </c>
      <c r="I6" s="192" t="s">
        <v>262</v>
      </c>
      <c r="J6" s="192" t="s">
        <v>263</v>
      </c>
      <c r="K6" s="192" t="s">
        <v>264</v>
      </c>
      <c r="L6" s="194" t="s">
        <v>265</v>
      </c>
      <c r="N6" s="8" t="s">
        <v>185</v>
      </c>
    </row>
    <row r="7" spans="1:35" x14ac:dyDescent="0.25">
      <c r="A7" s="197"/>
      <c r="B7" s="199"/>
      <c r="C7" s="193"/>
      <c r="D7" s="193"/>
      <c r="E7" s="193"/>
      <c r="F7" s="193"/>
      <c r="G7" s="193"/>
      <c r="H7" s="193"/>
      <c r="I7" s="193"/>
      <c r="J7" s="193"/>
      <c r="K7" s="193"/>
      <c r="L7" s="195"/>
      <c r="N7" s="8" t="s">
        <v>186</v>
      </c>
    </row>
    <row r="8" spans="1:35" s="7" customFormat="1" ht="26.25" customHeight="1" x14ac:dyDescent="0.25">
      <c r="A8" s="14">
        <v>1</v>
      </c>
      <c r="B8" s="133"/>
      <c r="C8" s="133"/>
      <c r="D8" s="133"/>
      <c r="E8" s="133"/>
      <c r="F8" s="133"/>
      <c r="G8" s="133"/>
      <c r="H8" s="133"/>
      <c r="I8" s="133"/>
      <c r="J8" s="133"/>
      <c r="K8" s="133"/>
      <c r="L8" s="134"/>
      <c r="M8" s="9"/>
      <c r="N8" s="8" t="s">
        <v>187</v>
      </c>
      <c r="O8" s="1"/>
      <c r="P8" s="1"/>
      <c r="Q8" s="1"/>
      <c r="R8" s="1"/>
      <c r="S8" s="1"/>
      <c r="T8" s="1"/>
      <c r="U8" s="1"/>
      <c r="V8" s="1"/>
      <c r="W8" s="1"/>
      <c r="X8" s="1"/>
      <c r="Y8" s="1"/>
      <c r="Z8" s="1"/>
      <c r="AA8" s="1"/>
      <c r="AB8" s="1"/>
      <c r="AC8" s="1"/>
      <c r="AD8" s="1"/>
      <c r="AE8" s="1"/>
      <c r="AF8" s="10"/>
      <c r="AG8" s="10"/>
      <c r="AH8" s="10"/>
      <c r="AI8" s="10"/>
    </row>
    <row r="9" spans="1:35" s="7" customFormat="1" ht="26.25" customHeight="1" x14ac:dyDescent="0.25">
      <c r="A9" s="14">
        <v>2</v>
      </c>
      <c r="B9" s="133"/>
      <c r="C9" s="133"/>
      <c r="D9" s="133"/>
      <c r="E9" s="133"/>
      <c r="F9" s="133"/>
      <c r="G9" s="133"/>
      <c r="H9" s="133"/>
      <c r="I9" s="133"/>
      <c r="J9" s="133"/>
      <c r="K9" s="133"/>
      <c r="L9" s="134"/>
      <c r="M9" s="9"/>
      <c r="N9" s="8" t="s">
        <v>188</v>
      </c>
      <c r="O9" s="1"/>
      <c r="P9" s="1"/>
      <c r="Q9" s="1"/>
      <c r="R9" s="1"/>
      <c r="S9" s="1"/>
      <c r="T9" s="1"/>
      <c r="U9" s="1"/>
      <c r="V9" s="1"/>
      <c r="W9" s="1"/>
      <c r="X9" s="1"/>
      <c r="Y9" s="1"/>
      <c r="Z9" s="1"/>
      <c r="AA9" s="1"/>
      <c r="AB9" s="1"/>
      <c r="AC9" s="1"/>
      <c r="AD9" s="1"/>
      <c r="AE9" s="1"/>
      <c r="AF9" s="10"/>
      <c r="AG9" s="10"/>
      <c r="AH9" s="10"/>
      <c r="AI9" s="10"/>
    </row>
    <row r="10" spans="1:35" s="7" customFormat="1" ht="26.25" customHeight="1" x14ac:dyDescent="0.25">
      <c r="A10" s="14">
        <v>3</v>
      </c>
      <c r="B10" s="133"/>
      <c r="C10" s="133"/>
      <c r="D10" s="133"/>
      <c r="E10" s="133"/>
      <c r="F10" s="133"/>
      <c r="G10" s="133"/>
      <c r="H10" s="133"/>
      <c r="I10" s="133"/>
      <c r="J10" s="133"/>
      <c r="K10" s="133"/>
      <c r="L10" s="134"/>
      <c r="M10" s="9"/>
      <c r="N10" s="12"/>
      <c r="O10" s="1"/>
      <c r="P10" s="1"/>
      <c r="Q10" s="1"/>
      <c r="R10" s="1"/>
      <c r="S10" s="1"/>
      <c r="T10" s="1"/>
      <c r="U10" s="1"/>
      <c r="V10" s="1"/>
      <c r="W10" s="1"/>
      <c r="X10" s="1"/>
      <c r="Y10" s="1"/>
      <c r="Z10" s="1"/>
      <c r="AA10" s="1"/>
      <c r="AB10" s="1"/>
      <c r="AC10" s="1"/>
      <c r="AD10" s="1"/>
      <c r="AE10" s="1"/>
      <c r="AF10" s="10"/>
      <c r="AG10" s="10"/>
      <c r="AH10" s="10"/>
      <c r="AI10" s="10"/>
    </row>
    <row r="11" spans="1:35" s="7" customFormat="1" ht="26.25" customHeight="1" x14ac:dyDescent="0.25">
      <c r="A11" s="14">
        <v>4</v>
      </c>
      <c r="B11" s="133"/>
      <c r="C11" s="133"/>
      <c r="D11" s="133"/>
      <c r="E11" s="133"/>
      <c r="F11" s="133"/>
      <c r="G11" s="133"/>
      <c r="H11" s="133"/>
      <c r="I11" s="133"/>
      <c r="J11" s="133"/>
      <c r="K11" s="133"/>
      <c r="L11" s="134"/>
      <c r="M11" s="9"/>
      <c r="N11" s="1"/>
      <c r="O11" s="1"/>
      <c r="P11" s="1"/>
      <c r="Q11" s="1"/>
      <c r="R11" s="1"/>
      <c r="S11" s="1"/>
      <c r="T11" s="1"/>
      <c r="U11" s="1"/>
      <c r="V11" s="1"/>
      <c r="W11" s="1"/>
      <c r="X11" s="1"/>
      <c r="Y11" s="1"/>
      <c r="Z11" s="1"/>
      <c r="AA11" s="1"/>
      <c r="AB11" s="1"/>
      <c r="AC11" s="1"/>
      <c r="AD11" s="1"/>
      <c r="AE11" s="1"/>
      <c r="AF11" s="10"/>
      <c r="AG11" s="10"/>
      <c r="AH11" s="10"/>
      <c r="AI11" s="10"/>
    </row>
    <row r="12" spans="1:35" s="7" customFormat="1" ht="26.25" customHeight="1" x14ac:dyDescent="0.25">
      <c r="A12" s="14">
        <v>5</v>
      </c>
      <c r="B12" s="133"/>
      <c r="C12" s="133"/>
      <c r="D12" s="133"/>
      <c r="E12" s="133"/>
      <c r="F12" s="133"/>
      <c r="G12" s="133"/>
      <c r="H12" s="133"/>
      <c r="I12" s="133"/>
      <c r="J12" s="133"/>
      <c r="K12" s="133"/>
      <c r="L12" s="134"/>
      <c r="M12" s="9"/>
      <c r="N12" s="1"/>
      <c r="O12" s="1"/>
      <c r="P12" s="1"/>
      <c r="Q12" s="1"/>
      <c r="R12" s="1"/>
      <c r="S12" s="1"/>
      <c r="T12" s="1"/>
      <c r="U12" s="1"/>
      <c r="V12" s="1"/>
      <c r="W12" s="1"/>
      <c r="X12" s="1"/>
      <c r="Y12" s="1"/>
      <c r="Z12" s="1"/>
      <c r="AA12" s="1"/>
      <c r="AB12" s="1"/>
      <c r="AC12" s="1"/>
      <c r="AD12" s="1"/>
      <c r="AE12" s="1"/>
      <c r="AF12" s="10"/>
      <c r="AG12" s="10"/>
      <c r="AH12" s="10"/>
      <c r="AI12" s="10"/>
    </row>
    <row r="13" spans="1:35" s="7" customFormat="1" ht="26.25" customHeight="1" x14ac:dyDescent="0.25">
      <c r="A13" s="14">
        <v>6</v>
      </c>
      <c r="B13" s="133"/>
      <c r="C13" s="133"/>
      <c r="D13" s="133"/>
      <c r="E13" s="133"/>
      <c r="F13" s="133"/>
      <c r="G13" s="133"/>
      <c r="H13" s="133"/>
      <c r="I13" s="133"/>
      <c r="J13" s="133"/>
      <c r="K13" s="133"/>
      <c r="L13" s="134"/>
      <c r="M13" s="9"/>
      <c r="N13" s="1"/>
      <c r="O13" s="1"/>
      <c r="P13" s="1"/>
      <c r="Q13" s="1"/>
      <c r="R13" s="1"/>
      <c r="S13" s="1"/>
      <c r="T13" s="1"/>
      <c r="U13" s="1"/>
      <c r="V13" s="1"/>
      <c r="W13" s="1"/>
      <c r="X13" s="1"/>
      <c r="Y13" s="1"/>
      <c r="Z13" s="1"/>
      <c r="AA13" s="1"/>
      <c r="AB13" s="1"/>
      <c r="AC13" s="1"/>
      <c r="AD13" s="1"/>
      <c r="AE13" s="1"/>
      <c r="AF13" s="10"/>
      <c r="AG13" s="10"/>
      <c r="AH13" s="10"/>
      <c r="AI13" s="10"/>
    </row>
    <row r="14" spans="1:35" s="7" customFormat="1" ht="26.25" customHeight="1" x14ac:dyDescent="0.25">
      <c r="A14" s="14">
        <v>7</v>
      </c>
      <c r="B14" s="133"/>
      <c r="C14" s="133"/>
      <c r="D14" s="133"/>
      <c r="E14" s="133"/>
      <c r="F14" s="133"/>
      <c r="G14" s="133"/>
      <c r="H14" s="133"/>
      <c r="I14" s="133"/>
      <c r="J14" s="133"/>
      <c r="K14" s="133"/>
      <c r="L14" s="134"/>
      <c r="M14" s="10"/>
      <c r="N14" s="1"/>
      <c r="O14" s="1"/>
      <c r="P14" s="1"/>
      <c r="Q14" s="1"/>
      <c r="R14" s="1"/>
      <c r="S14" s="1"/>
      <c r="T14" s="1"/>
      <c r="U14" s="1"/>
      <c r="V14" s="1"/>
      <c r="W14" s="1"/>
      <c r="X14" s="1"/>
      <c r="Y14" s="1"/>
      <c r="Z14" s="1"/>
      <c r="AA14" s="1"/>
      <c r="AB14" s="1"/>
      <c r="AC14" s="1"/>
      <c r="AD14" s="1"/>
      <c r="AE14" s="1"/>
      <c r="AF14" s="10"/>
      <c r="AG14" s="10"/>
      <c r="AH14" s="10"/>
      <c r="AI14" s="10"/>
    </row>
    <row r="15" spans="1:35" s="7" customFormat="1" ht="26.25" customHeight="1" x14ac:dyDescent="0.25">
      <c r="A15" s="14">
        <v>8</v>
      </c>
      <c r="B15" s="133"/>
      <c r="C15" s="133"/>
      <c r="D15" s="133"/>
      <c r="E15" s="133"/>
      <c r="F15" s="133"/>
      <c r="G15" s="133"/>
      <c r="H15" s="133"/>
      <c r="I15" s="133"/>
      <c r="J15" s="133"/>
      <c r="K15" s="133"/>
      <c r="L15" s="134"/>
      <c r="M15" s="10"/>
      <c r="N15" s="1"/>
      <c r="O15" s="1"/>
      <c r="P15" s="1"/>
      <c r="Q15" s="1"/>
      <c r="R15" s="1"/>
      <c r="S15" s="1"/>
      <c r="T15" s="1"/>
      <c r="U15" s="1"/>
      <c r="V15" s="1"/>
      <c r="W15" s="1"/>
      <c r="X15" s="1"/>
      <c r="Y15" s="1"/>
      <c r="Z15" s="1"/>
      <c r="AA15" s="1"/>
      <c r="AB15" s="1"/>
      <c r="AC15" s="1"/>
      <c r="AD15" s="1"/>
      <c r="AE15" s="1"/>
      <c r="AF15" s="10"/>
      <c r="AG15" s="10"/>
      <c r="AH15" s="10"/>
      <c r="AI15" s="10"/>
    </row>
    <row r="16" spans="1:35" s="7" customFormat="1" ht="26.25" customHeight="1" x14ac:dyDescent="0.25">
      <c r="A16" s="14">
        <v>9</v>
      </c>
      <c r="B16" s="133"/>
      <c r="C16" s="133"/>
      <c r="D16" s="133"/>
      <c r="E16" s="133"/>
      <c r="F16" s="133"/>
      <c r="G16" s="133"/>
      <c r="H16" s="133"/>
      <c r="I16" s="133"/>
      <c r="J16" s="133"/>
      <c r="K16" s="133"/>
      <c r="L16" s="134"/>
      <c r="M16" s="10"/>
      <c r="N16" s="1"/>
      <c r="O16" s="1"/>
      <c r="P16" s="1"/>
      <c r="Q16" s="1"/>
      <c r="R16" s="1"/>
      <c r="S16" s="1"/>
      <c r="T16" s="1"/>
      <c r="U16" s="1"/>
      <c r="V16" s="1"/>
      <c r="W16" s="1"/>
      <c r="X16" s="1"/>
      <c r="Y16" s="1"/>
      <c r="Z16" s="1"/>
      <c r="AA16" s="1"/>
      <c r="AB16" s="1"/>
      <c r="AC16" s="1"/>
      <c r="AD16" s="1"/>
      <c r="AE16" s="1"/>
      <c r="AF16" s="10"/>
      <c r="AG16" s="10"/>
      <c r="AH16" s="10"/>
      <c r="AI16" s="10"/>
    </row>
    <row r="17" spans="1:35" s="7" customFormat="1" ht="26.25" customHeight="1" x14ac:dyDescent="0.25">
      <c r="A17" s="14">
        <v>10</v>
      </c>
      <c r="B17" s="133"/>
      <c r="C17" s="133"/>
      <c r="D17" s="133"/>
      <c r="E17" s="133"/>
      <c r="F17" s="133"/>
      <c r="G17" s="133"/>
      <c r="H17" s="133"/>
      <c r="I17" s="133"/>
      <c r="J17" s="133"/>
      <c r="K17" s="133"/>
      <c r="L17" s="134"/>
      <c r="M17" s="10"/>
      <c r="N17" s="1"/>
      <c r="O17" s="1"/>
      <c r="P17" s="1"/>
      <c r="Q17" s="1"/>
      <c r="R17" s="1"/>
      <c r="S17" s="1"/>
      <c r="T17" s="1"/>
      <c r="U17" s="1"/>
      <c r="V17" s="1"/>
      <c r="W17" s="1"/>
      <c r="X17" s="1"/>
      <c r="Y17" s="1"/>
      <c r="Z17" s="1"/>
      <c r="AA17" s="1"/>
      <c r="AB17" s="1"/>
      <c r="AC17" s="1"/>
      <c r="AD17" s="1"/>
      <c r="AE17" s="1"/>
      <c r="AF17" s="10"/>
      <c r="AG17" s="10"/>
      <c r="AH17" s="10"/>
      <c r="AI17" s="10"/>
    </row>
    <row r="18" spans="1:35" s="7" customFormat="1" ht="26.25" customHeight="1" x14ac:dyDescent="0.25">
      <c r="A18" s="14">
        <v>11</v>
      </c>
      <c r="B18" s="133"/>
      <c r="C18" s="133"/>
      <c r="D18" s="133"/>
      <c r="E18" s="133"/>
      <c r="F18" s="133"/>
      <c r="G18" s="133"/>
      <c r="H18" s="133"/>
      <c r="I18" s="133"/>
      <c r="J18" s="133"/>
      <c r="K18" s="133"/>
      <c r="L18" s="134"/>
      <c r="M18" s="10"/>
      <c r="N18" s="1"/>
      <c r="O18" s="1"/>
      <c r="P18" s="1"/>
      <c r="Q18" s="1"/>
      <c r="R18" s="1"/>
      <c r="S18" s="1"/>
      <c r="T18" s="1"/>
      <c r="U18" s="1"/>
      <c r="V18" s="1"/>
      <c r="W18" s="1"/>
      <c r="X18" s="1"/>
      <c r="Y18" s="1"/>
      <c r="Z18" s="1"/>
      <c r="AA18" s="1"/>
      <c r="AB18" s="1"/>
      <c r="AC18" s="1"/>
      <c r="AD18" s="1"/>
      <c r="AE18" s="1"/>
      <c r="AF18" s="10"/>
      <c r="AG18" s="10"/>
      <c r="AH18" s="10"/>
      <c r="AI18" s="10"/>
    </row>
    <row r="19" spans="1:35" s="7" customFormat="1" ht="26.25" customHeight="1" x14ac:dyDescent="0.25">
      <c r="A19" s="14">
        <v>12</v>
      </c>
      <c r="B19" s="133"/>
      <c r="C19" s="133"/>
      <c r="D19" s="133"/>
      <c r="E19" s="133"/>
      <c r="F19" s="133"/>
      <c r="G19" s="133"/>
      <c r="H19" s="133"/>
      <c r="I19" s="133"/>
      <c r="J19" s="133"/>
      <c r="K19" s="133"/>
      <c r="L19" s="134"/>
      <c r="M19" s="10"/>
      <c r="N19" s="1"/>
      <c r="O19" s="1"/>
      <c r="P19" s="1"/>
      <c r="Q19" s="1"/>
      <c r="R19" s="1"/>
      <c r="S19" s="1"/>
      <c r="T19" s="1"/>
      <c r="U19" s="1"/>
      <c r="V19" s="1"/>
      <c r="W19" s="1"/>
      <c r="X19" s="1"/>
      <c r="Y19" s="1"/>
      <c r="Z19" s="1"/>
      <c r="AA19" s="1"/>
      <c r="AB19" s="1"/>
      <c r="AC19" s="1"/>
      <c r="AD19" s="1"/>
      <c r="AE19" s="1"/>
      <c r="AF19" s="10"/>
      <c r="AG19" s="10"/>
      <c r="AH19" s="10"/>
      <c r="AI19" s="10"/>
    </row>
    <row r="20" spans="1:35" s="7" customFormat="1" ht="26.25" customHeight="1" x14ac:dyDescent="0.25">
      <c r="A20" s="14">
        <v>13</v>
      </c>
      <c r="B20" s="133"/>
      <c r="C20" s="133"/>
      <c r="D20" s="133"/>
      <c r="E20" s="133"/>
      <c r="F20" s="133"/>
      <c r="G20" s="133"/>
      <c r="H20" s="133"/>
      <c r="I20" s="133"/>
      <c r="J20" s="133"/>
      <c r="K20" s="133"/>
      <c r="L20" s="134"/>
      <c r="M20" s="10"/>
      <c r="N20" s="1"/>
      <c r="O20" s="1"/>
      <c r="P20" s="1"/>
      <c r="Q20" s="1"/>
      <c r="R20" s="1"/>
      <c r="S20" s="1"/>
      <c r="T20" s="1"/>
      <c r="U20" s="1"/>
      <c r="V20" s="1"/>
      <c r="W20" s="1"/>
      <c r="X20" s="1"/>
      <c r="Y20" s="1"/>
      <c r="Z20" s="1"/>
      <c r="AA20" s="1"/>
      <c r="AB20" s="1"/>
      <c r="AC20" s="1"/>
      <c r="AD20" s="1"/>
      <c r="AE20" s="1"/>
      <c r="AF20" s="10"/>
      <c r="AG20" s="10"/>
      <c r="AH20" s="10"/>
      <c r="AI20" s="10"/>
    </row>
    <row r="21" spans="1:35" s="7" customFormat="1" ht="26.25" customHeight="1" x14ac:dyDescent="0.25">
      <c r="A21" s="14">
        <v>14</v>
      </c>
      <c r="B21" s="133"/>
      <c r="C21" s="133"/>
      <c r="D21" s="133"/>
      <c r="E21" s="133"/>
      <c r="F21" s="133"/>
      <c r="G21" s="133"/>
      <c r="H21" s="133"/>
      <c r="I21" s="133"/>
      <c r="J21" s="133"/>
      <c r="K21" s="133"/>
      <c r="L21" s="134"/>
      <c r="M21" s="10"/>
      <c r="N21" s="1"/>
      <c r="O21" s="1"/>
      <c r="P21" s="1"/>
      <c r="Q21" s="1"/>
      <c r="R21" s="1"/>
      <c r="S21" s="1"/>
      <c r="T21" s="1"/>
      <c r="U21" s="1"/>
      <c r="V21" s="1"/>
      <c r="W21" s="1"/>
      <c r="X21" s="1"/>
      <c r="Y21" s="1"/>
      <c r="Z21" s="1"/>
      <c r="AA21" s="1"/>
      <c r="AB21" s="1"/>
      <c r="AC21" s="1"/>
      <c r="AD21" s="1"/>
      <c r="AE21" s="1"/>
      <c r="AF21" s="10"/>
      <c r="AG21" s="10"/>
      <c r="AH21" s="10"/>
      <c r="AI21" s="10"/>
    </row>
    <row r="22" spans="1:35" s="7" customFormat="1" ht="26.25" customHeight="1" x14ac:dyDescent="0.25">
      <c r="A22" s="14">
        <v>15</v>
      </c>
      <c r="B22" s="133"/>
      <c r="C22" s="133"/>
      <c r="D22" s="133"/>
      <c r="E22" s="133"/>
      <c r="F22" s="133"/>
      <c r="G22" s="133"/>
      <c r="H22" s="133"/>
      <c r="I22" s="133"/>
      <c r="J22" s="133"/>
      <c r="K22" s="133"/>
      <c r="L22" s="134"/>
      <c r="M22" s="10"/>
      <c r="N22" s="1"/>
      <c r="O22" s="1"/>
      <c r="P22" s="1"/>
      <c r="Q22" s="1"/>
      <c r="R22" s="1"/>
      <c r="S22" s="1"/>
      <c r="T22" s="1"/>
      <c r="U22" s="1"/>
      <c r="V22" s="1"/>
      <c r="W22" s="1"/>
      <c r="X22" s="1"/>
      <c r="Y22" s="1"/>
      <c r="Z22" s="1"/>
      <c r="AA22" s="1"/>
      <c r="AB22" s="1"/>
      <c r="AC22" s="1"/>
      <c r="AD22" s="1"/>
      <c r="AE22" s="1"/>
      <c r="AF22" s="10"/>
      <c r="AG22" s="10"/>
      <c r="AH22" s="10"/>
      <c r="AI22" s="10"/>
    </row>
    <row r="23" spans="1:35" s="7" customFormat="1" ht="26.25" customHeight="1" x14ac:dyDescent="0.25">
      <c r="A23" s="14">
        <v>16</v>
      </c>
      <c r="B23" s="133"/>
      <c r="C23" s="133"/>
      <c r="D23" s="133"/>
      <c r="E23" s="133"/>
      <c r="F23" s="133"/>
      <c r="G23" s="133"/>
      <c r="H23" s="133"/>
      <c r="I23" s="133"/>
      <c r="J23" s="133"/>
      <c r="K23" s="133"/>
      <c r="L23" s="134"/>
      <c r="M23" s="10"/>
      <c r="N23" s="1"/>
      <c r="O23" s="1"/>
      <c r="P23" s="1"/>
      <c r="Q23" s="1"/>
      <c r="R23" s="1"/>
      <c r="S23" s="1"/>
      <c r="T23" s="1"/>
      <c r="U23" s="1"/>
      <c r="V23" s="1"/>
      <c r="W23" s="1"/>
      <c r="X23" s="1"/>
      <c r="Y23" s="1"/>
      <c r="Z23" s="1"/>
      <c r="AA23" s="1"/>
      <c r="AB23" s="1"/>
      <c r="AC23" s="1"/>
      <c r="AD23" s="1"/>
      <c r="AE23" s="1"/>
      <c r="AF23" s="10"/>
      <c r="AG23" s="10"/>
      <c r="AH23" s="10"/>
      <c r="AI23" s="10"/>
    </row>
    <row r="24" spans="1:35" s="7" customFormat="1" ht="26.25" customHeight="1" x14ac:dyDescent="0.25">
      <c r="A24" s="14">
        <v>17</v>
      </c>
      <c r="B24" s="133"/>
      <c r="C24" s="133"/>
      <c r="D24" s="133"/>
      <c r="E24" s="133"/>
      <c r="F24" s="133"/>
      <c r="G24" s="133"/>
      <c r="H24" s="133"/>
      <c r="I24" s="133"/>
      <c r="J24" s="133"/>
      <c r="K24" s="133"/>
      <c r="L24" s="134"/>
      <c r="M24" s="10"/>
      <c r="N24" s="1"/>
      <c r="O24" s="1"/>
      <c r="P24" s="1"/>
      <c r="Q24" s="1"/>
      <c r="R24" s="1"/>
      <c r="S24" s="1"/>
      <c r="T24" s="1"/>
      <c r="U24" s="1"/>
      <c r="V24" s="1"/>
      <c r="W24" s="1"/>
      <c r="X24" s="1"/>
      <c r="Y24" s="1"/>
      <c r="Z24" s="1"/>
      <c r="AA24" s="1"/>
      <c r="AB24" s="1"/>
      <c r="AC24" s="1"/>
      <c r="AD24" s="1"/>
      <c r="AE24" s="1"/>
      <c r="AF24" s="10"/>
      <c r="AG24" s="10"/>
      <c r="AH24" s="10"/>
      <c r="AI24" s="10"/>
    </row>
    <row r="25" spans="1:35" s="7" customFormat="1" ht="26.25" customHeight="1" x14ac:dyDescent="0.25">
      <c r="A25" s="14">
        <v>18</v>
      </c>
      <c r="B25" s="133"/>
      <c r="C25" s="133"/>
      <c r="D25" s="133"/>
      <c r="E25" s="133"/>
      <c r="F25" s="133"/>
      <c r="G25" s="133"/>
      <c r="H25" s="133"/>
      <c r="I25" s="133"/>
      <c r="J25" s="133"/>
      <c r="K25" s="133"/>
      <c r="L25" s="134"/>
      <c r="M25" s="10"/>
      <c r="N25" s="1"/>
      <c r="O25" s="1"/>
      <c r="P25" s="1"/>
      <c r="Q25" s="1"/>
      <c r="R25" s="1"/>
      <c r="S25" s="1"/>
      <c r="T25" s="1"/>
      <c r="U25" s="1"/>
      <c r="V25" s="1"/>
      <c r="W25" s="1"/>
      <c r="X25" s="1"/>
      <c r="Y25" s="1"/>
      <c r="Z25" s="1"/>
      <c r="AA25" s="1"/>
      <c r="AB25" s="1"/>
      <c r="AC25" s="1"/>
      <c r="AD25" s="1"/>
      <c r="AE25" s="1"/>
      <c r="AF25" s="10"/>
      <c r="AG25" s="10"/>
      <c r="AH25" s="10"/>
      <c r="AI25" s="10"/>
    </row>
    <row r="26" spans="1:35" s="7" customFormat="1" ht="26.25" customHeight="1" x14ac:dyDescent="0.25">
      <c r="A26" s="14">
        <v>19</v>
      </c>
      <c r="B26" s="133"/>
      <c r="C26" s="133"/>
      <c r="D26" s="133"/>
      <c r="E26" s="133"/>
      <c r="F26" s="133"/>
      <c r="G26" s="133"/>
      <c r="H26" s="133"/>
      <c r="I26" s="133"/>
      <c r="J26" s="133"/>
      <c r="K26" s="133"/>
      <c r="L26" s="134"/>
      <c r="M26" s="10"/>
      <c r="N26" s="1"/>
      <c r="O26" s="1"/>
      <c r="P26" s="1"/>
      <c r="Q26" s="1"/>
      <c r="R26" s="1"/>
      <c r="S26" s="1"/>
      <c r="T26" s="1"/>
      <c r="U26" s="1"/>
      <c r="V26" s="1"/>
      <c r="W26" s="1"/>
      <c r="X26" s="1"/>
      <c r="Y26" s="1"/>
      <c r="Z26" s="1"/>
      <c r="AA26" s="1"/>
      <c r="AB26" s="1"/>
      <c r="AC26" s="1"/>
      <c r="AD26" s="1"/>
      <c r="AE26" s="1"/>
      <c r="AF26" s="10"/>
      <c r="AG26" s="10"/>
      <c r="AH26" s="10"/>
      <c r="AI26" s="10"/>
    </row>
    <row r="27" spans="1:35" s="7" customFormat="1" ht="26.25" customHeight="1" x14ac:dyDescent="0.25">
      <c r="A27" s="14">
        <v>20</v>
      </c>
      <c r="B27" s="133"/>
      <c r="C27" s="133"/>
      <c r="D27" s="133"/>
      <c r="E27" s="133"/>
      <c r="F27" s="133"/>
      <c r="G27" s="133"/>
      <c r="H27" s="133"/>
      <c r="I27" s="133"/>
      <c r="J27" s="133"/>
      <c r="K27" s="133"/>
      <c r="L27" s="134"/>
      <c r="M27" s="10"/>
      <c r="N27" s="1"/>
      <c r="O27" s="1"/>
      <c r="P27" s="1"/>
      <c r="Q27" s="1"/>
      <c r="R27" s="1"/>
      <c r="S27" s="1"/>
      <c r="T27" s="1"/>
      <c r="U27" s="1"/>
      <c r="V27" s="1"/>
      <c r="W27" s="1"/>
      <c r="X27" s="1"/>
      <c r="Y27" s="1"/>
      <c r="Z27" s="1"/>
      <c r="AA27" s="1"/>
      <c r="AB27" s="1"/>
      <c r="AC27" s="1"/>
      <c r="AD27" s="1"/>
      <c r="AE27" s="1"/>
      <c r="AF27" s="10"/>
      <c r="AG27" s="10"/>
      <c r="AH27" s="10"/>
      <c r="AI27" s="10"/>
    </row>
    <row r="28" spans="1:35" s="7" customFormat="1" ht="26.25" customHeight="1" x14ac:dyDescent="0.25">
      <c r="A28" s="14">
        <v>21</v>
      </c>
      <c r="B28" s="133"/>
      <c r="C28" s="133"/>
      <c r="D28" s="133"/>
      <c r="E28" s="133"/>
      <c r="F28" s="133"/>
      <c r="G28" s="133"/>
      <c r="H28" s="133"/>
      <c r="I28" s="133"/>
      <c r="J28" s="133"/>
      <c r="K28" s="133"/>
      <c r="L28" s="134"/>
      <c r="M28" s="10"/>
      <c r="N28" s="1"/>
      <c r="O28" s="1"/>
      <c r="P28" s="1"/>
      <c r="Q28" s="1"/>
      <c r="R28" s="1"/>
      <c r="S28" s="1"/>
      <c r="T28" s="1"/>
      <c r="U28" s="1"/>
      <c r="V28" s="1"/>
      <c r="W28" s="1"/>
      <c r="X28" s="1"/>
      <c r="Y28" s="1"/>
      <c r="Z28" s="1"/>
      <c r="AA28" s="1"/>
      <c r="AB28" s="1"/>
      <c r="AC28" s="1"/>
      <c r="AD28" s="1"/>
      <c r="AE28" s="1"/>
      <c r="AF28" s="10"/>
      <c r="AG28" s="10"/>
      <c r="AH28" s="10"/>
      <c r="AI28" s="10"/>
    </row>
    <row r="29" spans="1:35" s="7" customFormat="1" ht="26.25" customHeight="1" x14ac:dyDescent="0.25">
      <c r="A29" s="14">
        <v>22</v>
      </c>
      <c r="B29" s="133"/>
      <c r="C29" s="133"/>
      <c r="D29" s="133"/>
      <c r="E29" s="133"/>
      <c r="F29" s="133"/>
      <c r="G29" s="133"/>
      <c r="H29" s="133"/>
      <c r="I29" s="133"/>
      <c r="J29" s="133"/>
      <c r="K29" s="133"/>
      <c r="L29" s="134"/>
      <c r="M29" s="10"/>
      <c r="N29" s="1"/>
      <c r="O29" s="1"/>
      <c r="P29" s="1"/>
      <c r="Q29" s="1"/>
      <c r="R29" s="1"/>
      <c r="S29" s="1"/>
      <c r="T29" s="1"/>
      <c r="U29" s="1"/>
      <c r="V29" s="1"/>
      <c r="W29" s="1"/>
      <c r="X29" s="1"/>
      <c r="Y29" s="1"/>
      <c r="Z29" s="1"/>
      <c r="AA29" s="1"/>
      <c r="AB29" s="1"/>
      <c r="AC29" s="1"/>
      <c r="AD29" s="1"/>
      <c r="AE29" s="1"/>
      <c r="AF29" s="10"/>
      <c r="AG29" s="10"/>
      <c r="AH29" s="10"/>
      <c r="AI29" s="10"/>
    </row>
    <row r="30" spans="1:35" s="7" customFormat="1" ht="26.25" customHeight="1" x14ac:dyDescent="0.25">
      <c r="A30" s="14">
        <v>23</v>
      </c>
      <c r="B30" s="133"/>
      <c r="C30" s="133"/>
      <c r="D30" s="133"/>
      <c r="E30" s="133"/>
      <c r="F30" s="133"/>
      <c r="G30" s="133"/>
      <c r="H30" s="133"/>
      <c r="I30" s="133"/>
      <c r="J30" s="133"/>
      <c r="K30" s="133"/>
      <c r="L30" s="134"/>
      <c r="M30" s="10"/>
      <c r="N30" s="1"/>
      <c r="O30" s="1"/>
      <c r="P30" s="1"/>
      <c r="Q30" s="1"/>
      <c r="R30" s="1"/>
      <c r="S30" s="1"/>
      <c r="T30" s="1"/>
      <c r="U30" s="1"/>
      <c r="V30" s="1"/>
      <c r="W30" s="1"/>
      <c r="X30" s="1"/>
      <c r="Y30" s="1"/>
      <c r="Z30" s="1"/>
      <c r="AA30" s="1"/>
      <c r="AB30" s="1"/>
      <c r="AC30" s="1"/>
      <c r="AD30" s="1"/>
      <c r="AE30" s="1"/>
      <c r="AF30" s="10"/>
      <c r="AG30" s="10"/>
      <c r="AH30" s="10"/>
      <c r="AI30" s="10"/>
    </row>
    <row r="31" spans="1:35" s="7" customFormat="1" ht="26.25" customHeight="1" x14ac:dyDescent="0.25">
      <c r="A31" s="14">
        <v>24</v>
      </c>
      <c r="B31" s="133"/>
      <c r="C31" s="133"/>
      <c r="D31" s="133"/>
      <c r="E31" s="133"/>
      <c r="F31" s="133"/>
      <c r="G31" s="133"/>
      <c r="H31" s="133"/>
      <c r="I31" s="133"/>
      <c r="J31" s="133"/>
      <c r="K31" s="133"/>
      <c r="L31" s="134"/>
      <c r="M31" s="10"/>
      <c r="N31" s="1"/>
      <c r="O31" s="1"/>
      <c r="P31" s="1"/>
      <c r="Q31" s="1"/>
      <c r="R31" s="1"/>
      <c r="S31" s="1"/>
      <c r="T31" s="1"/>
      <c r="U31" s="1"/>
      <c r="V31" s="1"/>
      <c r="W31" s="1"/>
      <c r="X31" s="1"/>
      <c r="Y31" s="1"/>
      <c r="Z31" s="1"/>
      <c r="AA31" s="1"/>
      <c r="AB31" s="1"/>
      <c r="AC31" s="1"/>
      <c r="AD31" s="1"/>
      <c r="AE31" s="1"/>
      <c r="AF31" s="10"/>
      <c r="AG31" s="10"/>
      <c r="AH31" s="10"/>
      <c r="AI31" s="10"/>
    </row>
    <row r="32" spans="1:35" s="7" customFormat="1" ht="26.25" customHeight="1" x14ac:dyDescent="0.25">
      <c r="A32" s="14">
        <v>25</v>
      </c>
      <c r="B32" s="133"/>
      <c r="C32" s="133"/>
      <c r="D32" s="133"/>
      <c r="E32" s="133"/>
      <c r="F32" s="133"/>
      <c r="G32" s="133"/>
      <c r="H32" s="133"/>
      <c r="I32" s="133"/>
      <c r="J32" s="133"/>
      <c r="K32" s="133"/>
      <c r="L32" s="134"/>
      <c r="M32" s="10"/>
      <c r="N32" s="1"/>
      <c r="O32" s="1"/>
      <c r="P32" s="1"/>
      <c r="Q32" s="1"/>
      <c r="R32" s="1"/>
      <c r="S32" s="1"/>
      <c r="T32" s="1"/>
      <c r="U32" s="1"/>
      <c r="V32" s="1"/>
      <c r="W32" s="1"/>
      <c r="X32" s="1"/>
      <c r="Y32" s="1"/>
      <c r="Z32" s="1"/>
      <c r="AA32" s="1"/>
      <c r="AB32" s="1"/>
      <c r="AC32" s="1"/>
      <c r="AD32" s="1"/>
      <c r="AE32" s="1"/>
      <c r="AF32" s="10"/>
      <c r="AG32" s="10"/>
      <c r="AH32" s="10"/>
      <c r="AI32" s="10"/>
    </row>
    <row r="33" spans="1:35" s="7" customFormat="1" ht="26.25" customHeight="1" x14ac:dyDescent="0.25">
      <c r="A33" s="14">
        <v>26</v>
      </c>
      <c r="B33" s="133"/>
      <c r="C33" s="133"/>
      <c r="D33" s="133"/>
      <c r="E33" s="133"/>
      <c r="F33" s="133"/>
      <c r="G33" s="133"/>
      <c r="H33" s="133"/>
      <c r="I33" s="133"/>
      <c r="J33" s="133"/>
      <c r="K33" s="133"/>
      <c r="L33" s="134"/>
      <c r="M33" s="10"/>
      <c r="N33" s="1"/>
      <c r="O33" s="1"/>
      <c r="P33" s="1"/>
      <c r="Q33" s="1"/>
      <c r="R33" s="1"/>
      <c r="S33" s="1"/>
      <c r="T33" s="1"/>
      <c r="U33" s="1"/>
      <c r="V33" s="1"/>
      <c r="W33" s="1"/>
      <c r="X33" s="1"/>
      <c r="Y33" s="1"/>
      <c r="Z33" s="1"/>
      <c r="AA33" s="1"/>
      <c r="AB33" s="1"/>
      <c r="AC33" s="1"/>
      <c r="AD33" s="1"/>
      <c r="AE33" s="1"/>
      <c r="AF33" s="10"/>
      <c r="AG33" s="10"/>
      <c r="AH33" s="10"/>
      <c r="AI33" s="10"/>
    </row>
    <row r="34" spans="1:35" s="7" customFormat="1" ht="26.25" customHeight="1" x14ac:dyDescent="0.25">
      <c r="A34" s="14">
        <v>27</v>
      </c>
      <c r="B34" s="133"/>
      <c r="C34" s="133"/>
      <c r="D34" s="133"/>
      <c r="E34" s="133"/>
      <c r="F34" s="133"/>
      <c r="G34" s="133"/>
      <c r="H34" s="133"/>
      <c r="I34" s="133"/>
      <c r="J34" s="133"/>
      <c r="K34" s="133"/>
      <c r="L34" s="134"/>
      <c r="M34" s="10"/>
      <c r="N34" s="1"/>
      <c r="O34" s="1"/>
      <c r="P34" s="1"/>
      <c r="Q34" s="1"/>
      <c r="R34" s="1"/>
      <c r="S34" s="1"/>
      <c r="T34" s="1"/>
      <c r="U34" s="1"/>
      <c r="V34" s="1"/>
      <c r="W34" s="1"/>
      <c r="X34" s="1"/>
      <c r="Y34" s="1"/>
      <c r="Z34" s="1"/>
      <c r="AA34" s="1"/>
      <c r="AB34" s="1"/>
      <c r="AC34" s="1"/>
      <c r="AD34" s="1"/>
      <c r="AE34" s="1"/>
      <c r="AF34" s="10"/>
      <c r="AG34" s="10"/>
      <c r="AH34" s="10"/>
      <c r="AI34" s="10"/>
    </row>
    <row r="35" spans="1:35" s="7" customFormat="1" ht="26.25" customHeight="1" x14ac:dyDescent="0.25">
      <c r="A35" s="14">
        <v>28</v>
      </c>
      <c r="B35" s="133"/>
      <c r="C35" s="133"/>
      <c r="D35" s="133"/>
      <c r="E35" s="133"/>
      <c r="F35" s="133"/>
      <c r="G35" s="133"/>
      <c r="H35" s="133"/>
      <c r="I35" s="133"/>
      <c r="J35" s="133"/>
      <c r="K35" s="133"/>
      <c r="L35" s="134"/>
      <c r="M35" s="10"/>
      <c r="N35" s="1"/>
      <c r="O35" s="1"/>
      <c r="P35" s="1"/>
      <c r="Q35" s="1"/>
      <c r="R35" s="1"/>
      <c r="S35" s="1"/>
      <c r="T35" s="1"/>
      <c r="U35" s="1"/>
      <c r="V35" s="1"/>
      <c r="W35" s="1"/>
      <c r="X35" s="1"/>
      <c r="Y35" s="1"/>
      <c r="Z35" s="1"/>
      <c r="AA35" s="1"/>
      <c r="AB35" s="1"/>
      <c r="AC35" s="1"/>
      <c r="AD35" s="1"/>
      <c r="AE35" s="1"/>
      <c r="AF35" s="10"/>
      <c r="AG35" s="10"/>
      <c r="AH35" s="10"/>
      <c r="AI35" s="10"/>
    </row>
    <row r="36" spans="1:35" s="7" customFormat="1" ht="26.25" customHeight="1" x14ac:dyDescent="0.25">
      <c r="A36" s="14">
        <v>29</v>
      </c>
      <c r="B36" s="133"/>
      <c r="C36" s="133"/>
      <c r="D36" s="133"/>
      <c r="E36" s="133"/>
      <c r="F36" s="133"/>
      <c r="G36" s="133"/>
      <c r="H36" s="133"/>
      <c r="I36" s="133"/>
      <c r="J36" s="133"/>
      <c r="K36" s="133"/>
      <c r="L36" s="134"/>
      <c r="M36" s="10"/>
      <c r="N36" s="1"/>
      <c r="O36" s="1"/>
      <c r="P36" s="1"/>
      <c r="Q36" s="1"/>
      <c r="R36" s="1"/>
      <c r="S36" s="1"/>
      <c r="T36" s="1"/>
      <c r="U36" s="1"/>
      <c r="V36" s="1"/>
      <c r="W36" s="1"/>
      <c r="X36" s="1"/>
      <c r="Y36" s="1"/>
      <c r="Z36" s="1"/>
      <c r="AA36" s="1"/>
      <c r="AB36" s="1"/>
      <c r="AC36" s="1"/>
      <c r="AD36" s="1"/>
      <c r="AE36" s="1"/>
      <c r="AF36" s="10"/>
      <c r="AG36" s="10"/>
      <c r="AH36" s="10"/>
      <c r="AI36" s="10"/>
    </row>
    <row r="37" spans="1:35" s="7" customFormat="1" ht="26.25" customHeight="1" x14ac:dyDescent="0.25">
      <c r="A37" s="14">
        <v>30</v>
      </c>
      <c r="B37" s="133"/>
      <c r="C37" s="133"/>
      <c r="D37" s="133"/>
      <c r="E37" s="133"/>
      <c r="F37" s="133"/>
      <c r="G37" s="133"/>
      <c r="H37" s="133"/>
      <c r="I37" s="133"/>
      <c r="J37" s="133"/>
      <c r="K37" s="133"/>
      <c r="L37" s="134"/>
      <c r="M37" s="10"/>
      <c r="N37" s="10"/>
      <c r="O37" s="10"/>
      <c r="P37" s="10"/>
      <c r="Q37" s="10"/>
      <c r="R37" s="10"/>
      <c r="S37" s="10"/>
      <c r="T37" s="10"/>
      <c r="U37" s="10"/>
      <c r="V37" s="10"/>
      <c r="W37" s="10"/>
      <c r="X37" s="10"/>
      <c r="Y37" s="10"/>
      <c r="Z37" s="10"/>
      <c r="AA37" s="10"/>
      <c r="AB37" s="10"/>
      <c r="AC37" s="10"/>
      <c r="AD37" s="10"/>
      <c r="AE37" s="10"/>
      <c r="AF37" s="10"/>
      <c r="AG37" s="10"/>
      <c r="AH37" s="10"/>
      <c r="AI37" s="10"/>
    </row>
    <row r="38" spans="1:35" s="7" customFormat="1" ht="26.25" customHeight="1" x14ac:dyDescent="0.25">
      <c r="A38" s="14">
        <v>31</v>
      </c>
      <c r="B38" s="133"/>
      <c r="C38" s="133"/>
      <c r="D38" s="133"/>
      <c r="E38" s="133"/>
      <c r="F38" s="133"/>
      <c r="G38" s="133"/>
      <c r="H38" s="133"/>
      <c r="I38" s="133"/>
      <c r="J38" s="133"/>
      <c r="K38" s="133"/>
      <c r="L38" s="134"/>
      <c r="M38" s="10"/>
      <c r="N38" s="10"/>
      <c r="O38" s="10"/>
      <c r="P38" s="10"/>
      <c r="Q38" s="10"/>
      <c r="R38" s="10"/>
      <c r="S38" s="10"/>
      <c r="T38" s="10"/>
      <c r="U38" s="10"/>
      <c r="V38" s="10"/>
      <c r="W38" s="10"/>
      <c r="X38" s="10"/>
      <c r="Y38" s="10"/>
      <c r="Z38" s="10"/>
      <c r="AA38" s="10"/>
      <c r="AB38" s="10"/>
      <c r="AC38" s="10"/>
      <c r="AD38" s="10"/>
      <c r="AE38" s="10"/>
      <c r="AF38" s="10"/>
      <c r="AG38" s="10"/>
      <c r="AH38" s="10"/>
      <c r="AI38" s="10"/>
    </row>
    <row r="39" spans="1:35" s="7" customFormat="1" ht="26.25" customHeight="1" x14ac:dyDescent="0.25">
      <c r="A39" s="14">
        <v>32</v>
      </c>
      <c r="B39" s="133"/>
      <c r="C39" s="133"/>
      <c r="D39" s="133"/>
      <c r="E39" s="133"/>
      <c r="F39" s="133"/>
      <c r="G39" s="133"/>
      <c r="H39" s="133"/>
      <c r="I39" s="133"/>
      <c r="J39" s="133"/>
      <c r="K39" s="133"/>
      <c r="L39" s="134"/>
      <c r="M39" s="10"/>
      <c r="N39" s="10"/>
      <c r="O39" s="10"/>
      <c r="P39" s="10"/>
      <c r="Q39" s="10"/>
      <c r="R39" s="10"/>
      <c r="S39" s="10"/>
      <c r="T39" s="10"/>
      <c r="U39" s="10"/>
      <c r="V39" s="10"/>
      <c r="W39" s="10"/>
      <c r="X39" s="10"/>
      <c r="Y39" s="10"/>
      <c r="Z39" s="10"/>
      <c r="AA39" s="10"/>
      <c r="AB39" s="10"/>
      <c r="AC39" s="10"/>
      <c r="AD39" s="10"/>
      <c r="AE39" s="10"/>
      <c r="AF39" s="10"/>
      <c r="AG39" s="10"/>
      <c r="AH39" s="10"/>
      <c r="AI39" s="10"/>
    </row>
    <row r="40" spans="1:35" s="7" customFormat="1" ht="26.25" customHeight="1" x14ac:dyDescent="0.25">
      <c r="A40" s="14">
        <v>33</v>
      </c>
      <c r="B40" s="133"/>
      <c r="C40" s="133"/>
      <c r="D40" s="133"/>
      <c r="E40" s="133"/>
      <c r="F40" s="133"/>
      <c r="G40" s="133"/>
      <c r="H40" s="133"/>
      <c r="I40" s="133"/>
      <c r="J40" s="133"/>
      <c r="K40" s="133"/>
      <c r="L40" s="134"/>
      <c r="M40" s="10"/>
      <c r="N40" s="10"/>
      <c r="O40" s="10"/>
      <c r="P40" s="10"/>
      <c r="Q40" s="10"/>
      <c r="R40" s="10"/>
      <c r="S40" s="10"/>
      <c r="T40" s="10"/>
      <c r="U40" s="10"/>
      <c r="V40" s="10"/>
      <c r="W40" s="10"/>
      <c r="X40" s="10"/>
      <c r="Y40" s="10"/>
      <c r="Z40" s="10"/>
      <c r="AA40" s="10"/>
      <c r="AB40" s="10"/>
      <c r="AC40" s="10"/>
      <c r="AD40" s="10"/>
      <c r="AE40" s="10"/>
      <c r="AF40" s="10"/>
      <c r="AG40" s="10"/>
      <c r="AH40" s="10"/>
      <c r="AI40" s="10"/>
    </row>
    <row r="41" spans="1:35" s="7" customFormat="1" ht="26.25" customHeight="1" x14ac:dyDescent="0.25">
      <c r="A41" s="14">
        <v>34</v>
      </c>
      <c r="B41" s="133"/>
      <c r="C41" s="133"/>
      <c r="D41" s="133"/>
      <c r="E41" s="133"/>
      <c r="F41" s="133"/>
      <c r="G41" s="133"/>
      <c r="H41" s="133"/>
      <c r="I41" s="133"/>
      <c r="J41" s="133"/>
      <c r="K41" s="133"/>
      <c r="L41" s="134"/>
      <c r="M41" s="10"/>
      <c r="N41" s="10"/>
      <c r="O41" s="10"/>
      <c r="P41" s="10"/>
      <c r="Q41" s="10"/>
      <c r="R41" s="10"/>
      <c r="S41" s="10"/>
      <c r="T41" s="10"/>
      <c r="U41" s="10"/>
      <c r="V41" s="10"/>
      <c r="W41" s="10"/>
      <c r="X41" s="10"/>
      <c r="Y41" s="10"/>
      <c r="Z41" s="10"/>
      <c r="AA41" s="10"/>
      <c r="AB41" s="10"/>
      <c r="AC41" s="10"/>
      <c r="AD41" s="10"/>
      <c r="AE41" s="10"/>
      <c r="AF41" s="10"/>
      <c r="AG41" s="10"/>
      <c r="AH41" s="10"/>
      <c r="AI41" s="10"/>
    </row>
    <row r="42" spans="1:35" s="7" customFormat="1" ht="26.25" customHeight="1" x14ac:dyDescent="0.25">
      <c r="A42" s="14">
        <v>35</v>
      </c>
      <c r="B42" s="133"/>
      <c r="C42" s="133"/>
      <c r="D42" s="133"/>
      <c r="E42" s="133"/>
      <c r="F42" s="133"/>
      <c r="G42" s="133"/>
      <c r="H42" s="133"/>
      <c r="I42" s="133"/>
      <c r="J42" s="133"/>
      <c r="K42" s="133"/>
      <c r="L42" s="134"/>
      <c r="M42" s="10"/>
      <c r="N42" s="10"/>
      <c r="O42" s="10"/>
      <c r="P42" s="10"/>
      <c r="Q42" s="10"/>
      <c r="R42" s="10"/>
      <c r="S42" s="10"/>
      <c r="T42" s="10"/>
      <c r="U42" s="10"/>
      <c r="V42" s="10"/>
      <c r="W42" s="10"/>
      <c r="X42" s="10"/>
      <c r="Y42" s="10"/>
      <c r="Z42" s="10"/>
      <c r="AA42" s="10"/>
      <c r="AB42" s="10"/>
      <c r="AC42" s="10"/>
      <c r="AD42" s="10"/>
      <c r="AE42" s="10"/>
      <c r="AF42" s="10"/>
      <c r="AG42" s="10"/>
      <c r="AH42" s="10"/>
      <c r="AI42" s="10"/>
    </row>
    <row r="43" spans="1:35" s="7" customFormat="1" ht="26.25" customHeight="1" x14ac:dyDescent="0.25">
      <c r="A43" s="14">
        <v>36</v>
      </c>
      <c r="B43" s="133"/>
      <c r="C43" s="133"/>
      <c r="D43" s="133"/>
      <c r="E43" s="133"/>
      <c r="F43" s="133"/>
      <c r="G43" s="133"/>
      <c r="H43" s="133"/>
      <c r="I43" s="133"/>
      <c r="J43" s="133"/>
      <c r="K43" s="133"/>
      <c r="L43" s="134"/>
      <c r="M43" s="10"/>
      <c r="N43" s="10"/>
      <c r="O43" s="10"/>
      <c r="P43" s="10"/>
      <c r="Q43" s="10"/>
      <c r="R43" s="10"/>
      <c r="S43" s="10"/>
      <c r="T43" s="10"/>
      <c r="U43" s="10"/>
      <c r="V43" s="10"/>
      <c r="W43" s="10"/>
      <c r="X43" s="10"/>
      <c r="Y43" s="10"/>
      <c r="Z43" s="10"/>
      <c r="AA43" s="10"/>
      <c r="AB43" s="10"/>
      <c r="AC43" s="10"/>
      <c r="AD43" s="10"/>
      <c r="AE43" s="10"/>
      <c r="AF43" s="10"/>
      <c r="AG43" s="10"/>
      <c r="AH43" s="10"/>
      <c r="AI43" s="10"/>
    </row>
    <row r="44" spans="1:35" s="7" customFormat="1" ht="26.25" customHeight="1" x14ac:dyDescent="0.25">
      <c r="A44" s="14">
        <v>37</v>
      </c>
      <c r="B44" s="133"/>
      <c r="C44" s="133"/>
      <c r="D44" s="133"/>
      <c r="E44" s="133"/>
      <c r="F44" s="133"/>
      <c r="G44" s="133"/>
      <c r="H44" s="133"/>
      <c r="I44" s="133"/>
      <c r="J44" s="133"/>
      <c r="K44" s="133"/>
      <c r="L44" s="134"/>
      <c r="M44" s="10"/>
      <c r="N44" s="10"/>
      <c r="O44" s="10"/>
      <c r="P44" s="10"/>
      <c r="Q44" s="10"/>
      <c r="R44" s="10"/>
      <c r="S44" s="10"/>
      <c r="T44" s="10"/>
      <c r="U44" s="10"/>
      <c r="V44" s="10"/>
      <c r="W44" s="10"/>
      <c r="X44" s="10"/>
      <c r="Y44" s="10"/>
      <c r="Z44" s="10"/>
      <c r="AA44" s="10"/>
      <c r="AB44" s="10"/>
      <c r="AC44" s="10"/>
      <c r="AD44" s="10"/>
      <c r="AE44" s="10"/>
      <c r="AF44" s="10"/>
      <c r="AG44" s="10"/>
      <c r="AH44" s="10"/>
      <c r="AI44" s="10"/>
    </row>
    <row r="45" spans="1:35" s="7" customFormat="1" ht="26.25" customHeight="1" x14ac:dyDescent="0.25">
      <c r="A45" s="14">
        <v>38</v>
      </c>
      <c r="B45" s="133"/>
      <c r="C45" s="133"/>
      <c r="D45" s="133"/>
      <c r="E45" s="133"/>
      <c r="F45" s="133"/>
      <c r="G45" s="133"/>
      <c r="H45" s="133"/>
      <c r="I45" s="133"/>
      <c r="J45" s="133"/>
      <c r="K45" s="133"/>
      <c r="L45" s="134"/>
      <c r="M45" s="10"/>
      <c r="N45" s="10"/>
      <c r="O45" s="10"/>
      <c r="P45" s="10"/>
      <c r="Q45" s="10"/>
      <c r="R45" s="10"/>
      <c r="S45" s="10"/>
      <c r="T45" s="10"/>
      <c r="U45" s="10"/>
      <c r="V45" s="10"/>
      <c r="W45" s="10"/>
      <c r="X45" s="10"/>
      <c r="Y45" s="10"/>
      <c r="Z45" s="10"/>
      <c r="AA45" s="10"/>
      <c r="AB45" s="10"/>
      <c r="AC45" s="10"/>
      <c r="AD45" s="10"/>
      <c r="AE45" s="10"/>
      <c r="AF45" s="10"/>
      <c r="AG45" s="10"/>
      <c r="AH45" s="10"/>
      <c r="AI45" s="10"/>
    </row>
    <row r="46" spans="1:35" s="7" customFormat="1" ht="26.25" customHeight="1" x14ac:dyDescent="0.25">
      <c r="A46" s="14">
        <v>39</v>
      </c>
      <c r="B46" s="133"/>
      <c r="C46" s="133"/>
      <c r="D46" s="133"/>
      <c r="E46" s="133"/>
      <c r="F46" s="133"/>
      <c r="G46" s="133"/>
      <c r="H46" s="133"/>
      <c r="I46" s="133"/>
      <c r="J46" s="133"/>
      <c r="K46" s="133"/>
      <c r="L46" s="134"/>
      <c r="M46" s="10"/>
      <c r="N46" s="10"/>
      <c r="O46" s="10"/>
      <c r="P46" s="10"/>
      <c r="Q46" s="10"/>
      <c r="R46" s="10"/>
      <c r="S46" s="10"/>
      <c r="T46" s="10"/>
      <c r="U46" s="10"/>
      <c r="V46" s="10"/>
      <c r="W46" s="10"/>
      <c r="X46" s="10"/>
      <c r="Y46" s="10"/>
      <c r="Z46" s="10"/>
      <c r="AA46" s="10"/>
      <c r="AB46" s="10"/>
      <c r="AC46" s="10"/>
      <c r="AD46" s="10"/>
      <c r="AE46" s="10"/>
      <c r="AF46" s="10"/>
      <c r="AG46" s="10"/>
      <c r="AH46" s="10"/>
      <c r="AI46" s="10"/>
    </row>
    <row r="47" spans="1:35" s="7" customFormat="1" ht="26.25" customHeight="1" x14ac:dyDescent="0.25">
      <c r="A47" s="14">
        <v>40</v>
      </c>
      <c r="B47" s="133"/>
      <c r="C47" s="133"/>
      <c r="D47" s="133"/>
      <c r="E47" s="133"/>
      <c r="F47" s="133"/>
      <c r="G47" s="133"/>
      <c r="H47" s="133"/>
      <c r="I47" s="133"/>
      <c r="J47" s="133"/>
      <c r="K47" s="133"/>
      <c r="L47" s="134"/>
      <c r="M47" s="10"/>
      <c r="N47" s="10"/>
      <c r="O47" s="10"/>
      <c r="P47" s="10"/>
      <c r="Q47" s="10"/>
      <c r="R47" s="10"/>
      <c r="S47" s="10"/>
      <c r="T47" s="10"/>
      <c r="U47" s="10"/>
      <c r="V47" s="10"/>
      <c r="W47" s="10"/>
      <c r="X47" s="10"/>
      <c r="Y47" s="10"/>
      <c r="Z47" s="10"/>
      <c r="AA47" s="10"/>
      <c r="AB47" s="10"/>
      <c r="AC47" s="10"/>
      <c r="AD47" s="10"/>
      <c r="AE47" s="10"/>
      <c r="AF47" s="10"/>
      <c r="AG47" s="10"/>
      <c r="AH47" s="10"/>
      <c r="AI47" s="10"/>
    </row>
    <row r="48" spans="1:35" s="7" customFormat="1" ht="26.25" customHeight="1" x14ac:dyDescent="0.25">
      <c r="A48" s="14">
        <v>41</v>
      </c>
      <c r="B48" s="133"/>
      <c r="C48" s="133"/>
      <c r="D48" s="133"/>
      <c r="E48" s="133"/>
      <c r="F48" s="133"/>
      <c r="G48" s="133"/>
      <c r="H48" s="133"/>
      <c r="I48" s="133"/>
      <c r="J48" s="133"/>
      <c r="K48" s="133"/>
      <c r="L48" s="134"/>
      <c r="M48" s="10"/>
      <c r="N48" s="10"/>
      <c r="O48" s="10"/>
      <c r="P48" s="10"/>
      <c r="Q48" s="10"/>
      <c r="R48" s="10"/>
      <c r="S48" s="10"/>
      <c r="T48" s="10"/>
      <c r="U48" s="10"/>
      <c r="V48" s="10"/>
      <c r="W48" s="10"/>
      <c r="X48" s="10"/>
      <c r="Y48" s="10"/>
      <c r="Z48" s="10"/>
      <c r="AA48" s="10"/>
      <c r="AB48" s="10"/>
      <c r="AC48" s="10"/>
      <c r="AD48" s="10"/>
      <c r="AE48" s="10"/>
      <c r="AF48" s="10"/>
      <c r="AG48" s="10"/>
      <c r="AH48" s="10"/>
      <c r="AI48" s="10"/>
    </row>
    <row r="49" spans="1:35" s="7" customFormat="1" ht="26.25" customHeight="1" x14ac:dyDescent="0.25">
      <c r="A49" s="14">
        <v>42</v>
      </c>
      <c r="B49" s="133"/>
      <c r="C49" s="133"/>
      <c r="D49" s="133"/>
      <c r="E49" s="133"/>
      <c r="F49" s="133"/>
      <c r="G49" s="133"/>
      <c r="H49" s="133"/>
      <c r="I49" s="133"/>
      <c r="J49" s="133"/>
      <c r="K49" s="133"/>
      <c r="L49" s="134"/>
      <c r="M49" s="10"/>
      <c r="N49" s="10"/>
      <c r="O49" s="10"/>
      <c r="P49" s="10"/>
      <c r="Q49" s="10"/>
      <c r="R49" s="10"/>
      <c r="S49" s="10"/>
      <c r="T49" s="10"/>
      <c r="U49" s="10"/>
      <c r="V49" s="10"/>
      <c r="W49" s="10"/>
      <c r="X49" s="10"/>
      <c r="Y49" s="10"/>
      <c r="Z49" s="10"/>
      <c r="AA49" s="10"/>
      <c r="AB49" s="10"/>
      <c r="AC49" s="10"/>
      <c r="AD49" s="10"/>
      <c r="AE49" s="10"/>
      <c r="AF49" s="10"/>
      <c r="AG49" s="10"/>
      <c r="AH49" s="10"/>
      <c r="AI49" s="10"/>
    </row>
    <row r="50" spans="1:35" s="7" customFormat="1" ht="26.25" customHeight="1" x14ac:dyDescent="0.25">
      <c r="A50" s="14">
        <v>43</v>
      </c>
      <c r="B50" s="133"/>
      <c r="C50" s="133"/>
      <c r="D50" s="133"/>
      <c r="E50" s="133"/>
      <c r="F50" s="133"/>
      <c r="G50" s="133"/>
      <c r="H50" s="133"/>
      <c r="I50" s="133"/>
      <c r="J50" s="133"/>
      <c r="K50" s="133"/>
      <c r="L50" s="134"/>
      <c r="M50" s="10"/>
      <c r="N50" s="10"/>
      <c r="O50" s="10"/>
      <c r="P50" s="10"/>
      <c r="Q50" s="10"/>
      <c r="R50" s="10"/>
      <c r="S50" s="10"/>
      <c r="T50" s="10"/>
      <c r="U50" s="10"/>
      <c r="V50" s="10"/>
      <c r="W50" s="10"/>
      <c r="X50" s="10"/>
      <c r="Y50" s="10"/>
      <c r="Z50" s="10"/>
      <c r="AA50" s="10"/>
      <c r="AB50" s="10"/>
      <c r="AC50" s="10"/>
      <c r="AD50" s="10"/>
      <c r="AE50" s="10"/>
      <c r="AF50" s="10"/>
      <c r="AG50" s="10"/>
      <c r="AH50" s="10"/>
      <c r="AI50" s="10"/>
    </row>
    <row r="51" spans="1:35" s="7" customFormat="1" ht="26.25" customHeight="1" x14ac:dyDescent="0.25">
      <c r="A51" s="14">
        <v>44</v>
      </c>
      <c r="B51" s="133"/>
      <c r="C51" s="133"/>
      <c r="D51" s="133"/>
      <c r="E51" s="133"/>
      <c r="F51" s="133"/>
      <c r="G51" s="133"/>
      <c r="H51" s="133"/>
      <c r="I51" s="133"/>
      <c r="J51" s="133"/>
      <c r="K51" s="133"/>
      <c r="L51" s="134"/>
      <c r="M51" s="10"/>
      <c r="N51" s="10"/>
      <c r="O51" s="10"/>
      <c r="P51" s="10"/>
      <c r="Q51" s="10"/>
      <c r="R51" s="10"/>
      <c r="S51" s="10"/>
      <c r="T51" s="10"/>
      <c r="U51" s="10"/>
      <c r="V51" s="10"/>
      <c r="W51" s="10"/>
      <c r="X51" s="10"/>
      <c r="Y51" s="10"/>
      <c r="Z51" s="10"/>
      <c r="AA51" s="10"/>
      <c r="AB51" s="10"/>
      <c r="AC51" s="10"/>
      <c r="AD51" s="10"/>
      <c r="AE51" s="10"/>
      <c r="AF51" s="10"/>
      <c r="AG51" s="10"/>
      <c r="AH51" s="10"/>
      <c r="AI51" s="10"/>
    </row>
    <row r="52" spans="1:35" s="7" customFormat="1" ht="26.25" customHeight="1" x14ac:dyDescent="0.25">
      <c r="A52" s="14">
        <v>45</v>
      </c>
      <c r="B52" s="133"/>
      <c r="C52" s="133"/>
      <c r="D52" s="133"/>
      <c r="E52" s="133"/>
      <c r="F52" s="133"/>
      <c r="G52" s="133"/>
      <c r="H52" s="133"/>
      <c r="I52" s="133"/>
      <c r="J52" s="133"/>
      <c r="K52" s="133"/>
      <c r="L52" s="134"/>
      <c r="M52" s="10"/>
      <c r="N52" s="10"/>
      <c r="O52" s="10"/>
      <c r="P52" s="10"/>
      <c r="Q52" s="10"/>
      <c r="R52" s="10"/>
      <c r="S52" s="10"/>
      <c r="T52" s="10"/>
      <c r="U52" s="10"/>
      <c r="V52" s="10"/>
      <c r="W52" s="10"/>
      <c r="X52" s="10"/>
      <c r="Y52" s="10"/>
      <c r="Z52" s="10"/>
      <c r="AA52" s="10"/>
      <c r="AB52" s="10"/>
      <c r="AC52" s="10"/>
      <c r="AD52" s="10"/>
      <c r="AE52" s="10"/>
      <c r="AF52" s="10"/>
      <c r="AG52" s="10"/>
      <c r="AH52" s="10"/>
      <c r="AI52" s="10"/>
    </row>
    <row r="53" spans="1:35" s="7" customFormat="1" ht="25.5" customHeight="1" x14ac:dyDescent="0.25">
      <c r="A53" s="14">
        <v>46</v>
      </c>
      <c r="B53" s="133"/>
      <c r="C53" s="133"/>
      <c r="D53" s="133"/>
      <c r="E53" s="133"/>
      <c r="F53" s="133"/>
      <c r="G53" s="133"/>
      <c r="H53" s="133"/>
      <c r="I53" s="133"/>
      <c r="J53" s="133"/>
      <c r="K53" s="133"/>
      <c r="L53" s="134"/>
      <c r="M53" s="10"/>
      <c r="N53" s="10"/>
      <c r="O53" s="10"/>
      <c r="P53" s="10"/>
      <c r="Q53" s="10"/>
      <c r="R53" s="10"/>
      <c r="S53" s="10"/>
      <c r="T53" s="10"/>
      <c r="U53" s="10"/>
      <c r="V53" s="10"/>
      <c r="W53" s="10"/>
      <c r="X53" s="10"/>
      <c r="Y53" s="10"/>
      <c r="Z53" s="10"/>
      <c r="AA53" s="10"/>
      <c r="AB53" s="10"/>
      <c r="AC53" s="10"/>
      <c r="AD53" s="10"/>
      <c r="AE53" s="10"/>
      <c r="AF53" s="10"/>
      <c r="AG53" s="10"/>
      <c r="AH53" s="10"/>
      <c r="AI53" s="10"/>
    </row>
    <row r="54" spans="1:35" ht="25.5" customHeight="1" x14ac:dyDescent="0.25">
      <c r="A54" s="14">
        <v>47</v>
      </c>
      <c r="B54" s="135"/>
      <c r="C54" s="135"/>
      <c r="D54" s="135"/>
      <c r="E54" s="135"/>
      <c r="F54" s="135"/>
      <c r="G54" s="135"/>
      <c r="H54" s="135"/>
      <c r="I54" s="135"/>
      <c r="J54" s="135"/>
      <c r="K54" s="135"/>
      <c r="L54" s="136"/>
    </row>
    <row r="55" spans="1:35" ht="25.5" customHeight="1" x14ac:dyDescent="0.25">
      <c r="A55" s="14">
        <v>48</v>
      </c>
      <c r="B55" s="135"/>
      <c r="C55" s="135"/>
      <c r="D55" s="135"/>
      <c r="E55" s="135"/>
      <c r="F55" s="135"/>
      <c r="G55" s="135"/>
      <c r="H55" s="135"/>
      <c r="I55" s="135"/>
      <c r="J55" s="135"/>
      <c r="K55" s="135"/>
      <c r="L55" s="136"/>
    </row>
    <row r="56" spans="1:35" ht="25.5" customHeight="1" x14ac:dyDescent="0.25">
      <c r="A56" s="14">
        <v>49</v>
      </c>
      <c r="B56" s="135"/>
      <c r="C56" s="135"/>
      <c r="D56" s="135"/>
      <c r="E56" s="135"/>
      <c r="F56" s="135"/>
      <c r="G56" s="135"/>
      <c r="H56" s="135"/>
      <c r="I56" s="135"/>
      <c r="J56" s="135"/>
      <c r="K56" s="135"/>
      <c r="L56" s="136"/>
    </row>
    <row r="57" spans="1:35" ht="25.5" customHeight="1" x14ac:dyDescent="0.25">
      <c r="A57" s="14">
        <v>50</v>
      </c>
      <c r="B57" s="135"/>
      <c r="C57" s="135"/>
      <c r="D57" s="135"/>
      <c r="E57" s="135"/>
      <c r="F57" s="135"/>
      <c r="G57" s="135"/>
      <c r="H57" s="135"/>
      <c r="I57" s="135"/>
      <c r="J57" s="135"/>
      <c r="K57" s="135"/>
      <c r="L57" s="136"/>
    </row>
    <row r="58" spans="1:35" ht="25.5" customHeight="1" x14ac:dyDescent="0.25">
      <c r="A58" s="14">
        <v>51</v>
      </c>
      <c r="B58" s="135"/>
      <c r="C58" s="135"/>
      <c r="D58" s="135"/>
      <c r="E58" s="135"/>
      <c r="F58" s="135"/>
      <c r="G58" s="135"/>
      <c r="H58" s="135"/>
      <c r="I58" s="135"/>
      <c r="J58" s="135"/>
      <c r="K58" s="135"/>
      <c r="L58" s="136"/>
    </row>
    <row r="59" spans="1:35" ht="25.5" customHeight="1" x14ac:dyDescent="0.25">
      <c r="A59" s="14">
        <v>52</v>
      </c>
      <c r="B59" s="135"/>
      <c r="C59" s="135"/>
      <c r="D59" s="135"/>
      <c r="E59" s="135"/>
      <c r="F59" s="135"/>
      <c r="G59" s="135"/>
      <c r="H59" s="135"/>
      <c r="I59" s="135"/>
      <c r="J59" s="135"/>
      <c r="K59" s="135"/>
      <c r="L59" s="136"/>
    </row>
    <row r="60" spans="1:35" ht="25.5" customHeight="1" x14ac:dyDescent="0.25">
      <c r="A60" s="14">
        <v>53</v>
      </c>
      <c r="B60" s="135"/>
      <c r="C60" s="135"/>
      <c r="D60" s="135"/>
      <c r="E60" s="135"/>
      <c r="F60" s="135"/>
      <c r="G60" s="135"/>
      <c r="H60" s="135"/>
      <c r="I60" s="135"/>
      <c r="J60" s="135"/>
      <c r="K60" s="135"/>
      <c r="L60" s="136"/>
    </row>
    <row r="61" spans="1:35" ht="25.5" customHeight="1" x14ac:dyDescent="0.25">
      <c r="A61" s="14">
        <v>54</v>
      </c>
      <c r="B61" s="135"/>
      <c r="C61" s="135"/>
      <c r="D61" s="135"/>
      <c r="E61" s="135"/>
      <c r="F61" s="135"/>
      <c r="G61" s="135"/>
      <c r="H61" s="135"/>
      <c r="I61" s="135"/>
      <c r="J61" s="135"/>
      <c r="K61" s="135"/>
      <c r="L61" s="136"/>
    </row>
    <row r="62" spans="1:35" ht="25.5" customHeight="1" x14ac:dyDescent="0.25">
      <c r="A62" s="14">
        <v>55</v>
      </c>
      <c r="B62" s="135"/>
      <c r="C62" s="135"/>
      <c r="D62" s="135"/>
      <c r="E62" s="135"/>
      <c r="F62" s="135"/>
      <c r="G62" s="135"/>
      <c r="H62" s="135"/>
      <c r="I62" s="135"/>
      <c r="J62" s="135"/>
      <c r="K62" s="135"/>
      <c r="L62" s="136"/>
    </row>
    <row r="63" spans="1:35" ht="25.5" customHeight="1" x14ac:dyDescent="0.25">
      <c r="A63" s="14">
        <v>56</v>
      </c>
      <c r="B63" s="135"/>
      <c r="C63" s="135"/>
      <c r="D63" s="135"/>
      <c r="E63" s="135"/>
      <c r="F63" s="135"/>
      <c r="G63" s="135"/>
      <c r="H63" s="135"/>
      <c r="I63" s="135"/>
      <c r="J63" s="135"/>
      <c r="K63" s="135"/>
      <c r="L63" s="136"/>
    </row>
    <row r="64" spans="1:35" ht="25.5" customHeight="1" x14ac:dyDescent="0.25">
      <c r="A64" s="14">
        <v>57</v>
      </c>
      <c r="B64" s="135"/>
      <c r="C64" s="135"/>
      <c r="D64" s="135"/>
      <c r="E64" s="135"/>
      <c r="F64" s="135"/>
      <c r="G64" s="135"/>
      <c r="H64" s="135"/>
      <c r="I64" s="135"/>
      <c r="J64" s="135"/>
      <c r="K64" s="135"/>
      <c r="L64" s="136"/>
    </row>
    <row r="65" spans="1:12" ht="25.5" customHeight="1" thickBot="1" x14ac:dyDescent="0.3">
      <c r="A65" s="15">
        <v>58</v>
      </c>
      <c r="B65" s="137"/>
      <c r="C65" s="137"/>
      <c r="D65" s="137"/>
      <c r="E65" s="137"/>
      <c r="F65" s="137"/>
      <c r="G65" s="137"/>
      <c r="H65" s="137"/>
      <c r="I65" s="137"/>
      <c r="J65" s="137"/>
      <c r="K65" s="137"/>
      <c r="L65" s="138"/>
    </row>
    <row r="66" spans="1:12" x14ac:dyDescent="0.25">
      <c r="A66" s="1"/>
      <c r="B66" s="1"/>
      <c r="C66" s="1"/>
      <c r="D66" s="1"/>
      <c r="E66" s="1"/>
      <c r="F66" s="1"/>
      <c r="G66" s="1"/>
      <c r="H66" s="1"/>
      <c r="I66" s="1"/>
      <c r="J66" s="1"/>
      <c r="K66" s="1"/>
      <c r="L66" s="1"/>
    </row>
    <row r="67" spans="1:12" x14ac:dyDescent="0.25">
      <c r="A67" s="1"/>
      <c r="B67" s="1"/>
      <c r="C67" s="1"/>
      <c r="D67" s="1"/>
      <c r="E67" s="1"/>
      <c r="F67" s="1"/>
      <c r="G67" s="1"/>
      <c r="H67" s="1"/>
      <c r="I67" s="1"/>
      <c r="J67" s="1"/>
      <c r="K67" s="1"/>
      <c r="L67" s="1"/>
    </row>
    <row r="68" spans="1:12" x14ac:dyDescent="0.25">
      <c r="A68" s="1"/>
      <c r="B68" s="1"/>
      <c r="C68" s="1"/>
      <c r="D68" s="1"/>
      <c r="E68" s="1"/>
      <c r="F68" s="1"/>
      <c r="G68" s="1"/>
      <c r="H68" s="1"/>
      <c r="I68" s="1"/>
      <c r="J68" s="1"/>
      <c r="K68" s="1"/>
      <c r="L68" s="1"/>
    </row>
    <row r="69" spans="1:12" x14ac:dyDescent="0.25">
      <c r="A69" s="1"/>
      <c r="B69" s="1"/>
      <c r="C69" s="1"/>
      <c r="D69" s="1"/>
      <c r="E69" s="1"/>
      <c r="F69" s="1"/>
      <c r="G69" s="1"/>
      <c r="H69" s="1"/>
      <c r="I69" s="1"/>
      <c r="J69" s="1"/>
      <c r="K69" s="1"/>
      <c r="L69" s="1"/>
    </row>
    <row r="70" spans="1:12" x14ac:dyDescent="0.25">
      <c r="A70" s="1"/>
      <c r="B70" s="1"/>
      <c r="C70" s="1"/>
      <c r="D70" s="1"/>
      <c r="E70" s="1"/>
      <c r="F70" s="1"/>
      <c r="G70" s="1"/>
      <c r="H70" s="1"/>
      <c r="I70" s="1"/>
      <c r="J70" s="1"/>
      <c r="K70" s="1"/>
      <c r="L70" s="1"/>
    </row>
    <row r="71" spans="1:12" x14ac:dyDescent="0.25">
      <c r="A71" s="1"/>
      <c r="B71" s="1"/>
      <c r="C71" s="1"/>
      <c r="D71" s="1"/>
      <c r="E71" s="1"/>
      <c r="F71" s="1"/>
      <c r="G71" s="1"/>
      <c r="H71" s="1"/>
      <c r="I71" s="1"/>
      <c r="J71" s="1"/>
      <c r="K71" s="1"/>
      <c r="L71" s="1"/>
    </row>
    <row r="72" spans="1:12" x14ac:dyDescent="0.25">
      <c r="A72" s="1"/>
      <c r="B72" s="1"/>
      <c r="C72" s="1"/>
      <c r="D72" s="1"/>
      <c r="E72" s="1"/>
      <c r="F72" s="1"/>
      <c r="G72" s="1"/>
      <c r="H72" s="1"/>
      <c r="I72" s="1"/>
      <c r="J72" s="1"/>
      <c r="K72" s="1"/>
      <c r="L72" s="1"/>
    </row>
    <row r="73" spans="1:12" x14ac:dyDescent="0.25">
      <c r="A73" s="1"/>
      <c r="B73" s="1"/>
      <c r="C73" s="1"/>
      <c r="D73" s="1"/>
      <c r="E73" s="1"/>
      <c r="F73" s="1"/>
      <c r="G73" s="1"/>
      <c r="H73" s="1"/>
      <c r="I73" s="1"/>
      <c r="J73" s="1"/>
      <c r="K73" s="1"/>
      <c r="L73" s="1"/>
    </row>
    <row r="74" spans="1:12" x14ac:dyDescent="0.25">
      <c r="A74" s="1"/>
      <c r="B74" s="1"/>
      <c r="C74" s="1"/>
      <c r="D74" s="1"/>
      <c r="E74" s="1"/>
      <c r="F74" s="1"/>
      <c r="G74" s="1"/>
      <c r="H74" s="1"/>
      <c r="I74" s="1"/>
      <c r="J74" s="1"/>
      <c r="K74" s="1"/>
      <c r="L74" s="1"/>
    </row>
    <row r="75" spans="1:12" x14ac:dyDescent="0.25">
      <c r="A75" s="1"/>
      <c r="B75" s="1"/>
      <c r="C75" s="1"/>
      <c r="D75" s="1"/>
      <c r="E75" s="1"/>
      <c r="F75" s="1"/>
      <c r="G75" s="1"/>
      <c r="H75" s="1"/>
      <c r="I75" s="1"/>
      <c r="J75" s="1"/>
      <c r="K75" s="1"/>
      <c r="L75" s="1"/>
    </row>
    <row r="76" spans="1:12" x14ac:dyDescent="0.25">
      <c r="A76" s="1"/>
      <c r="B76" s="1"/>
      <c r="C76" s="1"/>
      <c r="D76" s="1"/>
      <c r="E76" s="1"/>
      <c r="F76" s="1"/>
      <c r="G76" s="1"/>
      <c r="H76" s="1"/>
      <c r="I76" s="1"/>
      <c r="J76" s="1"/>
      <c r="K76" s="1"/>
      <c r="L76" s="1"/>
    </row>
    <row r="77" spans="1:12" x14ac:dyDescent="0.25">
      <c r="A77" s="1"/>
      <c r="B77" s="1"/>
      <c r="C77" s="1"/>
      <c r="D77" s="1"/>
      <c r="E77" s="1"/>
      <c r="F77" s="1"/>
      <c r="G77" s="1"/>
      <c r="H77" s="1"/>
      <c r="I77" s="1"/>
      <c r="J77" s="1"/>
      <c r="K77" s="1"/>
      <c r="L77" s="1"/>
    </row>
    <row r="78" spans="1:12" x14ac:dyDescent="0.25">
      <c r="A78" s="1"/>
      <c r="B78" s="1"/>
      <c r="C78" s="1"/>
      <c r="D78" s="1"/>
      <c r="E78" s="1"/>
      <c r="F78" s="1"/>
      <c r="G78" s="1"/>
      <c r="H78" s="1"/>
      <c r="I78" s="1"/>
      <c r="J78" s="1"/>
      <c r="K78" s="1"/>
      <c r="L78" s="1"/>
    </row>
    <row r="79" spans="1:12" x14ac:dyDescent="0.25">
      <c r="A79" s="1"/>
      <c r="B79" s="1"/>
      <c r="C79" s="1"/>
      <c r="D79" s="1"/>
      <c r="E79" s="1"/>
      <c r="F79" s="1"/>
      <c r="G79" s="1"/>
      <c r="H79" s="1"/>
      <c r="I79" s="1"/>
      <c r="J79" s="1"/>
      <c r="K79" s="1"/>
      <c r="L79" s="1"/>
    </row>
    <row r="80" spans="1:12" x14ac:dyDescent="0.25">
      <c r="A80" s="1"/>
      <c r="B80" s="1"/>
      <c r="C80" s="1"/>
      <c r="D80" s="1"/>
      <c r="E80" s="1"/>
      <c r="F80" s="1"/>
      <c r="G80" s="1"/>
      <c r="H80" s="1"/>
      <c r="I80" s="1"/>
      <c r="J80" s="1"/>
      <c r="K80" s="1"/>
      <c r="L80" s="1"/>
    </row>
    <row r="81" spans="1:12" x14ac:dyDescent="0.25">
      <c r="A81" s="1"/>
      <c r="B81" s="1"/>
      <c r="C81" s="1"/>
      <c r="D81" s="1"/>
      <c r="E81" s="1"/>
      <c r="F81" s="1"/>
      <c r="G81" s="1"/>
      <c r="H81" s="1"/>
      <c r="I81" s="1"/>
      <c r="J81" s="1"/>
      <c r="K81" s="1"/>
      <c r="L81" s="1"/>
    </row>
    <row r="82" spans="1:12" x14ac:dyDescent="0.25">
      <c r="A82" s="1"/>
      <c r="B82" s="1"/>
      <c r="C82" s="1"/>
      <c r="D82" s="1"/>
      <c r="E82" s="1"/>
      <c r="F82" s="1"/>
      <c r="G82" s="1"/>
      <c r="H82" s="1"/>
      <c r="I82" s="1"/>
      <c r="J82" s="1"/>
      <c r="K82" s="1"/>
      <c r="L82" s="1"/>
    </row>
    <row r="83" spans="1:12" x14ac:dyDescent="0.25">
      <c r="A83" s="1"/>
      <c r="B83" s="1"/>
      <c r="C83" s="1"/>
      <c r="D83" s="1"/>
      <c r="E83" s="1"/>
      <c r="F83" s="1"/>
      <c r="G83" s="1"/>
      <c r="H83" s="1"/>
      <c r="I83" s="1"/>
      <c r="J83" s="1"/>
      <c r="K83" s="1"/>
      <c r="L83" s="1"/>
    </row>
    <row r="84" spans="1:12" x14ac:dyDescent="0.25">
      <c r="A84" s="1"/>
      <c r="B84" s="1"/>
      <c r="C84" s="1"/>
      <c r="D84" s="1"/>
      <c r="E84" s="1"/>
      <c r="F84" s="1"/>
      <c r="G84" s="1"/>
      <c r="H84" s="1"/>
      <c r="I84" s="1"/>
      <c r="J84" s="1"/>
      <c r="K84" s="1"/>
      <c r="L84" s="1"/>
    </row>
    <row r="85" spans="1:12" x14ac:dyDescent="0.25">
      <c r="A85" s="1"/>
      <c r="B85" s="1"/>
      <c r="C85" s="1"/>
      <c r="D85" s="1"/>
      <c r="E85" s="1"/>
      <c r="F85" s="1"/>
      <c r="G85" s="1"/>
      <c r="H85" s="1"/>
      <c r="I85" s="1"/>
      <c r="J85" s="1"/>
      <c r="K85" s="1"/>
      <c r="L85" s="1"/>
    </row>
    <row r="86" spans="1:12" x14ac:dyDescent="0.25">
      <c r="A86" s="1"/>
      <c r="B86" s="1"/>
      <c r="C86" s="1"/>
      <c r="D86" s="1"/>
      <c r="E86" s="1"/>
      <c r="F86" s="1"/>
      <c r="G86" s="1"/>
      <c r="H86" s="1"/>
      <c r="I86" s="1"/>
      <c r="J86" s="1"/>
      <c r="K86" s="1"/>
      <c r="L86" s="1"/>
    </row>
    <row r="87" spans="1:12" x14ac:dyDescent="0.25">
      <c r="A87" s="1"/>
      <c r="B87" s="1"/>
      <c r="C87" s="1"/>
      <c r="D87" s="1"/>
      <c r="E87" s="1"/>
      <c r="F87" s="1"/>
      <c r="G87" s="1"/>
      <c r="H87" s="1"/>
      <c r="I87" s="1"/>
      <c r="J87" s="1"/>
      <c r="K87" s="1"/>
      <c r="L87" s="1"/>
    </row>
    <row r="88" spans="1:12" x14ac:dyDescent="0.25">
      <c r="A88" s="1"/>
      <c r="B88" s="1"/>
      <c r="C88" s="1"/>
      <c r="D88" s="1"/>
      <c r="E88" s="1"/>
      <c r="F88" s="1"/>
      <c r="G88" s="1"/>
      <c r="H88" s="1"/>
      <c r="I88" s="1"/>
      <c r="J88" s="1"/>
      <c r="K88" s="1"/>
      <c r="L88" s="1"/>
    </row>
    <row r="89" spans="1:12" x14ac:dyDescent="0.25">
      <c r="A89" s="1"/>
      <c r="B89" s="1"/>
      <c r="C89" s="1"/>
      <c r="D89" s="1"/>
      <c r="E89" s="1"/>
      <c r="F89" s="1"/>
      <c r="G89" s="1"/>
      <c r="H89" s="1"/>
      <c r="I89" s="1"/>
      <c r="J89" s="1"/>
      <c r="K89" s="1"/>
      <c r="L89" s="1"/>
    </row>
    <row r="90" spans="1:12" x14ac:dyDescent="0.25">
      <c r="A90" s="1"/>
      <c r="B90" s="1"/>
      <c r="C90" s="1"/>
      <c r="D90" s="1"/>
      <c r="E90" s="1"/>
      <c r="F90" s="1"/>
      <c r="G90" s="1"/>
      <c r="H90" s="1"/>
      <c r="I90" s="1"/>
      <c r="J90" s="1"/>
      <c r="K90" s="1"/>
      <c r="L90" s="1"/>
    </row>
    <row r="91" spans="1:12" x14ac:dyDescent="0.25">
      <c r="A91" s="1"/>
      <c r="B91" s="1"/>
      <c r="C91" s="1"/>
      <c r="D91" s="1"/>
      <c r="E91" s="1"/>
      <c r="F91" s="1"/>
      <c r="G91" s="1"/>
      <c r="H91" s="1"/>
      <c r="I91" s="1"/>
      <c r="J91" s="1"/>
      <c r="K91" s="1"/>
      <c r="L91" s="1"/>
    </row>
    <row r="92" spans="1:12" x14ac:dyDescent="0.25">
      <c r="A92" s="1"/>
      <c r="B92" s="1"/>
      <c r="C92" s="1"/>
      <c r="D92" s="1"/>
      <c r="E92" s="1"/>
      <c r="F92" s="1"/>
      <c r="G92" s="1"/>
      <c r="H92" s="1"/>
      <c r="I92" s="1"/>
      <c r="J92" s="1"/>
      <c r="K92" s="1"/>
      <c r="L92" s="1"/>
    </row>
    <row r="93" spans="1:12" x14ac:dyDescent="0.25">
      <c r="A93" s="1"/>
      <c r="B93" s="1"/>
      <c r="C93" s="1"/>
      <c r="D93" s="1"/>
      <c r="E93" s="1"/>
      <c r="F93" s="1"/>
      <c r="G93" s="1"/>
      <c r="H93" s="1"/>
      <c r="I93" s="1"/>
      <c r="J93" s="1"/>
      <c r="K93" s="1"/>
      <c r="L93" s="1"/>
    </row>
    <row r="94" spans="1:12" x14ac:dyDescent="0.25">
      <c r="A94" s="1"/>
      <c r="B94" s="1"/>
      <c r="C94" s="1"/>
      <c r="D94" s="1"/>
      <c r="E94" s="1"/>
      <c r="F94" s="1"/>
      <c r="G94" s="1"/>
      <c r="H94" s="1"/>
      <c r="I94" s="1"/>
      <c r="J94" s="1"/>
      <c r="K94" s="1"/>
      <c r="L94" s="1"/>
    </row>
    <row r="95" spans="1:12" x14ac:dyDescent="0.25">
      <c r="A95" s="1"/>
      <c r="B95" s="1"/>
      <c r="C95" s="1"/>
      <c r="D95" s="1"/>
      <c r="E95" s="1"/>
      <c r="F95" s="1"/>
      <c r="G95" s="1"/>
      <c r="H95" s="1"/>
      <c r="I95" s="1"/>
      <c r="J95" s="1"/>
      <c r="K95" s="1"/>
      <c r="L95" s="1"/>
    </row>
    <row r="96" spans="1:12" x14ac:dyDescent="0.25">
      <c r="A96" s="1"/>
      <c r="B96" s="1"/>
      <c r="C96" s="1"/>
      <c r="D96" s="1"/>
      <c r="E96" s="1"/>
      <c r="F96" s="1"/>
      <c r="G96" s="1"/>
      <c r="H96" s="1"/>
      <c r="I96" s="1"/>
      <c r="J96" s="1"/>
      <c r="K96" s="1"/>
      <c r="L96" s="1"/>
    </row>
    <row r="97" spans="1:12" x14ac:dyDescent="0.25">
      <c r="A97" s="1"/>
      <c r="B97" s="1"/>
      <c r="C97" s="1"/>
      <c r="D97" s="1"/>
      <c r="E97" s="1"/>
      <c r="F97" s="1"/>
      <c r="G97" s="1"/>
      <c r="H97" s="1"/>
      <c r="I97" s="1"/>
      <c r="J97" s="1"/>
      <c r="K97" s="1"/>
      <c r="L97" s="1"/>
    </row>
    <row r="98" spans="1:12" x14ac:dyDescent="0.25">
      <c r="A98" s="1"/>
      <c r="B98" s="1"/>
      <c r="C98" s="1"/>
      <c r="D98" s="1"/>
      <c r="E98" s="1"/>
      <c r="F98" s="1"/>
      <c r="G98" s="1"/>
      <c r="H98" s="1"/>
      <c r="I98" s="1"/>
      <c r="J98" s="1"/>
      <c r="K98" s="1"/>
      <c r="L98" s="1"/>
    </row>
    <row r="99" spans="1:12" x14ac:dyDescent="0.25">
      <c r="A99" s="1"/>
      <c r="B99" s="1"/>
      <c r="C99" s="1"/>
      <c r="D99" s="1"/>
      <c r="E99" s="1"/>
      <c r="F99" s="1"/>
      <c r="G99" s="1"/>
      <c r="H99" s="1"/>
      <c r="I99" s="1"/>
      <c r="J99" s="1"/>
      <c r="K99" s="1"/>
      <c r="L99" s="1"/>
    </row>
    <row r="100" spans="1:12" x14ac:dyDescent="0.25">
      <c r="A100" s="1"/>
      <c r="B100" s="1"/>
      <c r="C100" s="1"/>
      <c r="D100" s="1"/>
      <c r="E100" s="1"/>
      <c r="F100" s="1"/>
      <c r="G100" s="1"/>
      <c r="H100" s="1"/>
      <c r="I100" s="1"/>
      <c r="J100" s="1"/>
      <c r="K100" s="1"/>
      <c r="L100" s="1"/>
    </row>
    <row r="101" spans="1:12" x14ac:dyDescent="0.25">
      <c r="A101" s="1"/>
      <c r="B101" s="1"/>
      <c r="C101" s="1"/>
      <c r="D101" s="1"/>
      <c r="E101" s="1"/>
      <c r="F101" s="1"/>
      <c r="G101" s="1"/>
      <c r="H101" s="1"/>
      <c r="I101" s="1"/>
      <c r="J101" s="1"/>
      <c r="K101" s="1"/>
      <c r="L101" s="1"/>
    </row>
    <row r="102" spans="1:12" x14ac:dyDescent="0.25">
      <c r="A102" s="1"/>
      <c r="B102" s="1"/>
      <c r="C102" s="1"/>
      <c r="D102" s="1"/>
      <c r="E102" s="1"/>
      <c r="F102" s="1"/>
      <c r="G102" s="1"/>
      <c r="H102" s="1"/>
      <c r="I102" s="1"/>
      <c r="J102" s="1"/>
      <c r="K102" s="1"/>
      <c r="L102" s="1"/>
    </row>
    <row r="103" spans="1:12" x14ac:dyDescent="0.25">
      <c r="A103" s="1"/>
      <c r="B103" s="1"/>
      <c r="C103" s="1"/>
      <c r="D103" s="1"/>
      <c r="E103" s="1"/>
      <c r="F103" s="1"/>
      <c r="G103" s="1"/>
      <c r="H103" s="1"/>
      <c r="I103" s="1"/>
      <c r="J103" s="1"/>
      <c r="K103" s="1"/>
      <c r="L103" s="1"/>
    </row>
    <row r="104" spans="1:12" x14ac:dyDescent="0.25">
      <c r="A104" s="1"/>
      <c r="B104" s="1"/>
      <c r="C104" s="1"/>
      <c r="D104" s="1"/>
      <c r="E104" s="1"/>
      <c r="F104" s="1"/>
      <c r="G104" s="1"/>
      <c r="H104" s="1"/>
      <c r="I104" s="1"/>
      <c r="J104" s="1"/>
      <c r="K104" s="1"/>
      <c r="L104" s="1"/>
    </row>
    <row r="105" spans="1:12" x14ac:dyDescent="0.25">
      <c r="A105" s="1"/>
      <c r="B105" s="1"/>
      <c r="C105" s="1"/>
      <c r="D105" s="1"/>
      <c r="E105" s="1"/>
      <c r="F105" s="1"/>
      <c r="G105" s="1"/>
      <c r="H105" s="1"/>
      <c r="I105" s="1"/>
      <c r="J105" s="1"/>
      <c r="K105" s="1"/>
      <c r="L105" s="1"/>
    </row>
    <row r="106" spans="1:12" x14ac:dyDescent="0.25">
      <c r="A106" s="1"/>
      <c r="B106" s="1"/>
      <c r="C106" s="1"/>
      <c r="D106" s="1"/>
      <c r="E106" s="1"/>
      <c r="F106" s="1"/>
      <c r="G106" s="1"/>
      <c r="H106" s="1"/>
      <c r="I106" s="1"/>
      <c r="J106" s="1"/>
      <c r="K106" s="1"/>
      <c r="L106" s="1"/>
    </row>
    <row r="107" spans="1:12" x14ac:dyDescent="0.25">
      <c r="A107" s="1"/>
      <c r="B107" s="1"/>
      <c r="C107" s="1"/>
      <c r="D107" s="1"/>
      <c r="E107" s="1"/>
      <c r="F107" s="1"/>
      <c r="G107" s="1"/>
      <c r="H107" s="1"/>
      <c r="I107" s="1"/>
      <c r="J107" s="1"/>
      <c r="K107" s="1"/>
      <c r="L107" s="1"/>
    </row>
    <row r="108" spans="1:12" x14ac:dyDescent="0.25">
      <c r="A108" s="1"/>
      <c r="B108" s="1"/>
      <c r="C108" s="1"/>
      <c r="D108" s="1"/>
      <c r="E108" s="1"/>
      <c r="F108" s="1"/>
      <c r="G108" s="1"/>
      <c r="H108" s="1"/>
      <c r="I108" s="1"/>
      <c r="J108" s="1"/>
      <c r="K108" s="1"/>
      <c r="L108" s="1"/>
    </row>
    <row r="109" spans="1:12" x14ac:dyDescent="0.25">
      <c r="A109" s="1"/>
      <c r="B109" s="1"/>
      <c r="C109" s="1"/>
      <c r="D109" s="1"/>
      <c r="E109" s="1"/>
      <c r="F109" s="1"/>
      <c r="G109" s="1"/>
      <c r="H109" s="1"/>
      <c r="I109" s="1"/>
      <c r="J109" s="1"/>
      <c r="K109" s="1"/>
      <c r="L109" s="1"/>
    </row>
    <row r="110" spans="1:12" x14ac:dyDescent="0.25">
      <c r="A110" s="1"/>
      <c r="B110" s="1"/>
      <c r="C110" s="1"/>
      <c r="D110" s="1"/>
      <c r="E110" s="1"/>
      <c r="F110" s="1"/>
      <c r="G110" s="1"/>
      <c r="H110" s="1"/>
      <c r="I110" s="1"/>
      <c r="J110" s="1"/>
      <c r="K110" s="1"/>
      <c r="L110" s="1"/>
    </row>
    <row r="111" spans="1:12" x14ac:dyDescent="0.25">
      <c r="A111" s="1"/>
      <c r="B111" s="1"/>
      <c r="C111" s="1"/>
      <c r="D111" s="1"/>
      <c r="E111" s="1"/>
      <c r="F111" s="1"/>
      <c r="G111" s="1"/>
      <c r="H111" s="1"/>
      <c r="I111" s="1"/>
      <c r="J111" s="1"/>
      <c r="K111" s="1"/>
      <c r="L111" s="1"/>
    </row>
    <row r="112" spans="1:12" x14ac:dyDescent="0.25">
      <c r="A112" s="1"/>
      <c r="B112" s="1"/>
      <c r="C112" s="1"/>
      <c r="D112" s="1"/>
      <c r="E112" s="1"/>
      <c r="F112" s="1"/>
      <c r="G112" s="1"/>
      <c r="H112" s="1"/>
      <c r="I112" s="1"/>
      <c r="J112" s="1"/>
      <c r="K112" s="1"/>
      <c r="L112" s="1"/>
    </row>
    <row r="113" spans="1:12" x14ac:dyDescent="0.25">
      <c r="A113" s="1"/>
      <c r="B113" s="1"/>
      <c r="C113" s="1"/>
      <c r="D113" s="1"/>
      <c r="E113" s="1"/>
      <c r="F113" s="1"/>
      <c r="G113" s="1"/>
      <c r="H113" s="1"/>
      <c r="I113" s="1"/>
      <c r="J113" s="1"/>
      <c r="K113" s="1"/>
      <c r="L113" s="1"/>
    </row>
    <row r="114" spans="1:12" x14ac:dyDescent="0.25">
      <c r="A114" s="1"/>
      <c r="B114" s="1"/>
      <c r="C114" s="1"/>
      <c r="D114" s="1"/>
      <c r="E114" s="1"/>
      <c r="F114" s="1"/>
      <c r="G114" s="1"/>
      <c r="H114" s="1"/>
      <c r="I114" s="1"/>
      <c r="J114" s="1"/>
      <c r="K114" s="1"/>
      <c r="L114" s="1"/>
    </row>
    <row r="115" spans="1:12" x14ac:dyDescent="0.25">
      <c r="A115" s="1"/>
      <c r="B115" s="1"/>
      <c r="C115" s="1"/>
      <c r="D115" s="1"/>
      <c r="E115" s="1"/>
      <c r="F115" s="1"/>
      <c r="G115" s="1"/>
      <c r="H115" s="1"/>
      <c r="I115" s="1"/>
      <c r="J115" s="1"/>
      <c r="K115" s="1"/>
      <c r="L115" s="1"/>
    </row>
    <row r="116" spans="1:12" x14ac:dyDescent="0.25">
      <c r="A116" s="1"/>
      <c r="B116" s="1"/>
      <c r="C116" s="1"/>
      <c r="D116" s="1"/>
      <c r="E116" s="1"/>
      <c r="F116" s="1"/>
      <c r="G116" s="1"/>
      <c r="H116" s="1"/>
      <c r="I116" s="1"/>
      <c r="J116" s="1"/>
      <c r="K116" s="1"/>
      <c r="L116" s="1"/>
    </row>
    <row r="117" spans="1:12" x14ac:dyDescent="0.25">
      <c r="A117" s="1"/>
      <c r="B117" s="1"/>
      <c r="C117" s="1"/>
      <c r="D117" s="1"/>
      <c r="E117" s="1"/>
      <c r="F117" s="1"/>
      <c r="G117" s="1"/>
      <c r="H117" s="1"/>
      <c r="I117" s="1"/>
      <c r="J117" s="1"/>
      <c r="K117" s="1"/>
      <c r="L117" s="1"/>
    </row>
    <row r="118" spans="1:12" x14ac:dyDescent="0.25">
      <c r="A118" s="1"/>
      <c r="B118" s="1"/>
      <c r="C118" s="1"/>
      <c r="D118" s="1"/>
      <c r="E118" s="1"/>
      <c r="F118" s="1"/>
      <c r="G118" s="1"/>
      <c r="H118" s="1"/>
      <c r="I118" s="1"/>
      <c r="J118" s="1"/>
      <c r="K118" s="1"/>
      <c r="L118" s="1"/>
    </row>
    <row r="119" spans="1:12" x14ac:dyDescent="0.25">
      <c r="A119" s="1"/>
      <c r="B119" s="1"/>
      <c r="C119" s="1"/>
      <c r="D119" s="1"/>
      <c r="E119" s="1"/>
      <c r="F119" s="1"/>
      <c r="G119" s="1"/>
      <c r="H119" s="1"/>
      <c r="I119" s="1"/>
      <c r="J119" s="1"/>
      <c r="K119" s="1"/>
      <c r="L119" s="1"/>
    </row>
    <row r="120" spans="1:12" x14ac:dyDescent="0.25">
      <c r="A120" s="1"/>
      <c r="B120" s="1"/>
      <c r="C120" s="1"/>
      <c r="D120" s="1"/>
      <c r="E120" s="1"/>
      <c r="F120" s="1"/>
      <c r="G120" s="1"/>
      <c r="H120" s="1"/>
      <c r="I120" s="1"/>
      <c r="J120" s="1"/>
      <c r="K120" s="1"/>
      <c r="L120" s="1"/>
    </row>
    <row r="121" spans="1:12" x14ac:dyDescent="0.25">
      <c r="A121" s="1"/>
      <c r="B121" s="1"/>
      <c r="C121" s="1"/>
      <c r="D121" s="1"/>
      <c r="E121" s="1"/>
      <c r="F121" s="1"/>
      <c r="G121" s="1"/>
      <c r="H121" s="1"/>
      <c r="I121" s="1"/>
      <c r="J121" s="1"/>
      <c r="K121" s="1"/>
      <c r="L121" s="1"/>
    </row>
    <row r="122" spans="1:12" x14ac:dyDescent="0.25">
      <c r="A122" s="1"/>
      <c r="B122" s="1"/>
      <c r="C122" s="1"/>
      <c r="D122" s="1"/>
      <c r="E122" s="1"/>
      <c r="F122" s="1"/>
      <c r="G122" s="1"/>
      <c r="H122" s="1"/>
      <c r="I122" s="1"/>
      <c r="J122" s="1"/>
      <c r="K122" s="1"/>
      <c r="L122" s="1"/>
    </row>
    <row r="123" spans="1:12" x14ac:dyDescent="0.25">
      <c r="A123" s="1"/>
      <c r="B123" s="1"/>
      <c r="C123" s="1"/>
      <c r="D123" s="1"/>
      <c r="E123" s="1"/>
      <c r="F123" s="1"/>
      <c r="G123" s="1"/>
      <c r="H123" s="1"/>
      <c r="I123" s="1"/>
      <c r="J123" s="1"/>
      <c r="K123" s="1"/>
      <c r="L123" s="1"/>
    </row>
    <row r="124" spans="1:12" x14ac:dyDescent="0.25">
      <c r="A124" s="1"/>
      <c r="B124" s="1"/>
      <c r="C124" s="1"/>
      <c r="D124" s="1"/>
      <c r="E124" s="1"/>
      <c r="F124" s="1"/>
      <c r="G124" s="1"/>
      <c r="H124" s="1"/>
      <c r="I124" s="1"/>
      <c r="J124" s="1"/>
      <c r="K124" s="1"/>
      <c r="L124" s="1"/>
    </row>
    <row r="125" spans="1:12" x14ac:dyDescent="0.25">
      <c r="A125" s="1"/>
      <c r="B125" s="1"/>
      <c r="C125" s="1"/>
      <c r="D125" s="1"/>
      <c r="E125" s="1"/>
      <c r="F125" s="1"/>
      <c r="G125" s="1"/>
      <c r="H125" s="1"/>
      <c r="I125" s="1"/>
      <c r="J125" s="1"/>
      <c r="K125" s="1"/>
      <c r="L125" s="1"/>
    </row>
    <row r="126" spans="1:12" x14ac:dyDescent="0.25">
      <c r="A126" s="1"/>
      <c r="B126" s="1"/>
      <c r="C126" s="1"/>
      <c r="D126" s="1"/>
      <c r="E126" s="1"/>
      <c r="F126" s="1"/>
      <c r="G126" s="1"/>
      <c r="H126" s="1"/>
      <c r="I126" s="1"/>
      <c r="J126" s="1"/>
      <c r="K126" s="1"/>
      <c r="L126" s="1"/>
    </row>
    <row r="127" spans="1:12" x14ac:dyDescent="0.25">
      <c r="A127" s="1"/>
      <c r="B127" s="1"/>
      <c r="C127" s="1"/>
      <c r="D127" s="1"/>
      <c r="E127" s="1"/>
      <c r="F127" s="1"/>
      <c r="G127" s="1"/>
      <c r="H127" s="1"/>
      <c r="I127" s="1"/>
      <c r="J127" s="1"/>
      <c r="K127" s="1"/>
      <c r="L127" s="1"/>
    </row>
    <row r="128" spans="1:12" x14ac:dyDescent="0.25">
      <c r="A128" s="1"/>
      <c r="B128" s="1"/>
      <c r="C128" s="1"/>
      <c r="D128" s="1"/>
      <c r="E128" s="1"/>
      <c r="F128" s="1"/>
      <c r="G128" s="1"/>
      <c r="H128" s="1"/>
      <c r="I128" s="1"/>
      <c r="J128" s="1"/>
      <c r="K128" s="1"/>
      <c r="L128" s="1"/>
    </row>
    <row r="129" spans="1:12" x14ac:dyDescent="0.25">
      <c r="A129" s="1"/>
      <c r="B129" s="1"/>
      <c r="C129" s="1"/>
      <c r="D129" s="1"/>
      <c r="E129" s="1"/>
      <c r="F129" s="1"/>
      <c r="G129" s="1"/>
      <c r="H129" s="1"/>
      <c r="I129" s="1"/>
      <c r="J129" s="1"/>
      <c r="K129" s="1"/>
      <c r="L129" s="1"/>
    </row>
    <row r="130" spans="1:12" x14ac:dyDescent="0.25">
      <c r="A130" s="1"/>
      <c r="B130" s="1"/>
      <c r="C130" s="1"/>
      <c r="D130" s="1"/>
      <c r="E130" s="1"/>
      <c r="F130" s="1"/>
      <c r="G130" s="1"/>
      <c r="H130" s="1"/>
      <c r="I130" s="1"/>
      <c r="J130" s="1"/>
      <c r="K130" s="1"/>
      <c r="L130" s="1"/>
    </row>
    <row r="131" spans="1:12" x14ac:dyDescent="0.25">
      <c r="A131" s="1"/>
      <c r="B131" s="1"/>
      <c r="C131" s="1"/>
      <c r="D131" s="1"/>
      <c r="E131" s="1"/>
      <c r="F131" s="1"/>
      <c r="G131" s="1"/>
      <c r="H131" s="1"/>
      <c r="I131" s="1"/>
      <c r="J131" s="1"/>
      <c r="K131" s="1"/>
      <c r="L131" s="1"/>
    </row>
    <row r="132" spans="1:12" x14ac:dyDescent="0.25">
      <c r="A132" s="1"/>
      <c r="B132" s="1"/>
      <c r="C132" s="1"/>
      <c r="D132" s="1"/>
      <c r="E132" s="1"/>
      <c r="F132" s="1"/>
      <c r="G132" s="1"/>
      <c r="H132" s="1"/>
      <c r="I132" s="1"/>
      <c r="J132" s="1"/>
      <c r="K132" s="1"/>
      <c r="L132" s="1"/>
    </row>
    <row r="133" spans="1:12" x14ac:dyDescent="0.25">
      <c r="A133" s="1"/>
      <c r="B133" s="1"/>
      <c r="C133" s="1"/>
      <c r="D133" s="1"/>
      <c r="E133" s="1"/>
      <c r="F133" s="1"/>
      <c r="G133" s="1"/>
      <c r="H133" s="1"/>
      <c r="I133" s="1"/>
      <c r="J133" s="1"/>
      <c r="K133" s="1"/>
      <c r="L133" s="1"/>
    </row>
    <row r="134" spans="1:12" x14ac:dyDescent="0.25">
      <c r="A134" s="1"/>
      <c r="B134" s="1"/>
      <c r="C134" s="1"/>
      <c r="D134" s="1"/>
      <c r="E134" s="1"/>
      <c r="F134" s="1"/>
      <c r="G134" s="1"/>
      <c r="H134" s="1"/>
      <c r="I134" s="1"/>
      <c r="J134" s="1"/>
      <c r="K134" s="1"/>
      <c r="L134" s="1"/>
    </row>
    <row r="135" spans="1:12" x14ac:dyDescent="0.25">
      <c r="A135" s="1"/>
      <c r="B135" s="1"/>
      <c r="C135" s="1"/>
      <c r="D135" s="1"/>
      <c r="E135" s="1"/>
      <c r="F135" s="1"/>
      <c r="G135" s="1"/>
      <c r="H135" s="1"/>
      <c r="I135" s="1"/>
      <c r="J135" s="1"/>
      <c r="K135" s="1"/>
      <c r="L135" s="1"/>
    </row>
    <row r="136" spans="1:12" x14ac:dyDescent="0.25">
      <c r="A136" s="1"/>
      <c r="B136" s="1"/>
      <c r="C136" s="1"/>
      <c r="D136" s="1"/>
      <c r="E136" s="1"/>
      <c r="F136" s="1"/>
      <c r="G136" s="1"/>
      <c r="H136" s="1"/>
      <c r="I136" s="1"/>
      <c r="J136" s="1"/>
      <c r="K136" s="1"/>
      <c r="L136" s="1"/>
    </row>
    <row r="137" spans="1:12" x14ac:dyDescent="0.25">
      <c r="A137" s="1"/>
      <c r="B137" s="1"/>
      <c r="C137" s="1"/>
      <c r="D137" s="1"/>
      <c r="E137" s="1"/>
      <c r="F137" s="1"/>
      <c r="G137" s="1"/>
      <c r="H137" s="1"/>
      <c r="I137" s="1"/>
      <c r="J137" s="1"/>
      <c r="K137" s="1"/>
      <c r="L137" s="1"/>
    </row>
    <row r="138" spans="1:12" x14ac:dyDescent="0.25">
      <c r="A138" s="1"/>
      <c r="B138" s="1"/>
      <c r="C138" s="1"/>
      <c r="D138" s="1"/>
      <c r="E138" s="1"/>
      <c r="F138" s="1"/>
      <c r="G138" s="1"/>
      <c r="H138" s="1"/>
      <c r="I138" s="1"/>
      <c r="J138" s="1"/>
      <c r="K138" s="1"/>
      <c r="L138" s="1"/>
    </row>
    <row r="139" spans="1:12" x14ac:dyDescent="0.25">
      <c r="A139" s="1"/>
      <c r="B139" s="1"/>
      <c r="C139" s="1"/>
      <c r="D139" s="1"/>
      <c r="E139" s="1"/>
      <c r="F139" s="1"/>
      <c r="G139" s="1"/>
      <c r="H139" s="1"/>
      <c r="I139" s="1"/>
      <c r="J139" s="1"/>
      <c r="K139" s="1"/>
      <c r="L139" s="1"/>
    </row>
    <row r="140" spans="1:12" x14ac:dyDescent="0.25">
      <c r="A140" s="1"/>
      <c r="B140" s="1"/>
      <c r="C140" s="1"/>
      <c r="D140" s="1"/>
      <c r="E140" s="1"/>
      <c r="F140" s="1"/>
      <c r="G140" s="1"/>
      <c r="H140" s="1"/>
      <c r="I140" s="1"/>
      <c r="J140" s="1"/>
      <c r="K140" s="1"/>
      <c r="L140" s="1"/>
    </row>
    <row r="141" spans="1:12" x14ac:dyDescent="0.25">
      <c r="A141" s="1"/>
      <c r="B141" s="1"/>
      <c r="C141" s="1"/>
      <c r="D141" s="1"/>
      <c r="E141" s="1"/>
      <c r="F141" s="1"/>
      <c r="G141" s="1"/>
      <c r="H141" s="1"/>
      <c r="I141" s="1"/>
      <c r="J141" s="1"/>
      <c r="K141" s="1"/>
      <c r="L141" s="1"/>
    </row>
    <row r="142" spans="1:12" x14ac:dyDescent="0.25">
      <c r="A142" s="1"/>
      <c r="B142" s="1"/>
      <c r="C142" s="1"/>
      <c r="D142" s="1"/>
      <c r="E142" s="1"/>
      <c r="F142" s="1"/>
      <c r="G142" s="1"/>
      <c r="H142" s="1"/>
      <c r="I142" s="1"/>
      <c r="J142" s="1"/>
      <c r="K142" s="1"/>
      <c r="L142" s="1"/>
    </row>
    <row r="143" spans="1:12" x14ac:dyDescent="0.25">
      <c r="A143" s="1"/>
      <c r="B143" s="1"/>
      <c r="C143" s="1"/>
      <c r="D143" s="1"/>
      <c r="E143" s="1"/>
      <c r="F143" s="1"/>
      <c r="G143" s="1"/>
      <c r="H143" s="1"/>
      <c r="I143" s="1"/>
      <c r="J143" s="1"/>
      <c r="K143" s="1"/>
      <c r="L143" s="1"/>
    </row>
    <row r="144" spans="1:12" x14ac:dyDescent="0.25">
      <c r="A144" s="1"/>
      <c r="B144" s="1"/>
      <c r="C144" s="1"/>
      <c r="D144" s="1"/>
      <c r="E144" s="1"/>
      <c r="F144" s="1"/>
      <c r="G144" s="1"/>
      <c r="H144" s="1"/>
      <c r="I144" s="1"/>
      <c r="J144" s="1"/>
      <c r="K144" s="1"/>
      <c r="L144" s="1"/>
    </row>
    <row r="145" spans="1:12" x14ac:dyDescent="0.25">
      <c r="A145" s="1"/>
      <c r="B145" s="1"/>
      <c r="C145" s="1"/>
      <c r="D145" s="1"/>
      <c r="E145" s="1"/>
      <c r="F145" s="1"/>
      <c r="G145" s="1"/>
      <c r="H145" s="1"/>
      <c r="I145" s="1"/>
      <c r="J145" s="1"/>
      <c r="K145" s="1"/>
      <c r="L145" s="1"/>
    </row>
    <row r="146" spans="1:12" x14ac:dyDescent="0.25">
      <c r="A146" s="1"/>
      <c r="B146" s="1"/>
      <c r="C146" s="1"/>
      <c r="D146" s="1"/>
      <c r="E146" s="1"/>
      <c r="F146" s="1"/>
      <c r="G146" s="1"/>
      <c r="H146" s="1"/>
      <c r="I146" s="1"/>
      <c r="J146" s="1"/>
      <c r="K146" s="1"/>
      <c r="L146" s="1"/>
    </row>
    <row r="147" spans="1:12" x14ac:dyDescent="0.25">
      <c r="A147" s="1"/>
      <c r="B147" s="1"/>
      <c r="C147" s="1"/>
      <c r="D147" s="1"/>
      <c r="E147" s="1"/>
      <c r="F147" s="1"/>
      <c r="G147" s="1"/>
      <c r="H147" s="1"/>
      <c r="I147" s="1"/>
      <c r="J147" s="1"/>
      <c r="K147" s="1"/>
      <c r="L147" s="1"/>
    </row>
    <row r="148" spans="1:12" x14ac:dyDescent="0.25">
      <c r="A148" s="1"/>
      <c r="B148" s="1"/>
      <c r="C148" s="1"/>
      <c r="D148" s="1"/>
      <c r="E148" s="1"/>
      <c r="F148" s="1"/>
      <c r="G148" s="1"/>
      <c r="H148" s="1"/>
      <c r="I148" s="1"/>
      <c r="J148" s="1"/>
      <c r="K148" s="1"/>
      <c r="L148" s="1"/>
    </row>
    <row r="149" spans="1:12" x14ac:dyDescent="0.25">
      <c r="A149" s="1"/>
      <c r="B149" s="1"/>
      <c r="C149" s="1"/>
      <c r="D149" s="1"/>
      <c r="E149" s="1"/>
      <c r="F149" s="1"/>
      <c r="G149" s="1"/>
      <c r="H149" s="1"/>
      <c r="I149" s="1"/>
      <c r="J149" s="1"/>
      <c r="K149" s="1"/>
      <c r="L149" s="1"/>
    </row>
    <row r="150" spans="1:12" x14ac:dyDescent="0.25">
      <c r="A150" s="1"/>
      <c r="B150" s="1"/>
      <c r="C150" s="1"/>
      <c r="D150" s="1"/>
      <c r="E150" s="1"/>
      <c r="F150" s="1"/>
      <c r="G150" s="1"/>
      <c r="H150" s="1"/>
      <c r="I150" s="1"/>
      <c r="J150" s="1"/>
      <c r="K150" s="1"/>
      <c r="L150" s="1"/>
    </row>
    <row r="151" spans="1:12" x14ac:dyDescent="0.25">
      <c r="A151" s="1"/>
      <c r="B151" s="1"/>
      <c r="C151" s="1"/>
      <c r="D151" s="1"/>
      <c r="E151" s="1"/>
      <c r="F151" s="1"/>
      <c r="G151" s="1"/>
      <c r="H151" s="1"/>
      <c r="I151" s="1"/>
      <c r="J151" s="1"/>
      <c r="K151" s="1"/>
      <c r="L151" s="1"/>
    </row>
    <row r="152" spans="1:12" x14ac:dyDescent="0.25">
      <c r="A152" s="1"/>
      <c r="B152" s="1"/>
      <c r="C152" s="1"/>
      <c r="D152" s="1"/>
      <c r="E152" s="1"/>
      <c r="F152" s="1"/>
      <c r="G152" s="1"/>
      <c r="H152" s="1"/>
      <c r="I152" s="1"/>
      <c r="J152" s="1"/>
      <c r="K152" s="1"/>
      <c r="L152" s="1"/>
    </row>
    <row r="153" spans="1:12" x14ac:dyDescent="0.25">
      <c r="A153" s="1"/>
      <c r="B153" s="1"/>
      <c r="C153" s="1"/>
      <c r="D153" s="1"/>
      <c r="E153" s="1"/>
      <c r="F153" s="1"/>
      <c r="G153" s="1"/>
      <c r="H153" s="1"/>
      <c r="I153" s="1"/>
      <c r="J153" s="1"/>
      <c r="K153" s="1"/>
      <c r="L153" s="1"/>
    </row>
    <row r="154" spans="1:12" x14ac:dyDescent="0.25">
      <c r="A154" s="1"/>
      <c r="B154" s="1"/>
      <c r="C154" s="1"/>
      <c r="D154" s="1"/>
      <c r="E154" s="1"/>
      <c r="F154" s="1"/>
      <c r="G154" s="1"/>
      <c r="H154" s="1"/>
      <c r="I154" s="1"/>
      <c r="J154" s="1"/>
      <c r="K154" s="1"/>
      <c r="L154" s="1"/>
    </row>
    <row r="155" spans="1:12" x14ac:dyDescent="0.25">
      <c r="A155" s="1"/>
      <c r="B155" s="1"/>
      <c r="C155" s="1"/>
      <c r="D155" s="1"/>
      <c r="E155" s="1"/>
      <c r="F155" s="1"/>
      <c r="G155" s="1"/>
      <c r="H155" s="1"/>
      <c r="I155" s="1"/>
      <c r="J155" s="1"/>
      <c r="K155" s="1"/>
      <c r="L155" s="1"/>
    </row>
    <row r="156" spans="1:12" x14ac:dyDescent="0.25">
      <c r="A156" s="1"/>
      <c r="B156" s="1"/>
      <c r="C156" s="1"/>
      <c r="D156" s="1"/>
      <c r="E156" s="1"/>
      <c r="F156" s="1"/>
      <c r="G156" s="1"/>
      <c r="H156" s="1"/>
      <c r="I156" s="1"/>
      <c r="J156" s="1"/>
      <c r="K156" s="1"/>
      <c r="L156" s="1"/>
    </row>
  </sheetData>
  <sheetProtection algorithmName="SHA-512" hashValue="n3ZhWVZtaFyUApsOwLvTIh0ZmI4dD8Xe3y/uC9Yo47V6FoxUMP2IIhW7f/WiWc7KMXMn1tV9q0+rRotc+7HPng==" saltValue="619jGtzPEdbRs2CLoiMcuw==" spinCount="100000" sheet="1" objects="1" scenarios="1"/>
  <mergeCells count="16">
    <mergeCell ref="A2:L2"/>
    <mergeCell ref="A1:L1"/>
    <mergeCell ref="H6:H7"/>
    <mergeCell ref="I6:I7"/>
    <mergeCell ref="J6:J7"/>
    <mergeCell ref="K6:K7"/>
    <mergeCell ref="L6:L7"/>
    <mergeCell ref="A4:L4"/>
    <mergeCell ref="A3:L3"/>
    <mergeCell ref="G6:G7"/>
    <mergeCell ref="A6:A7"/>
    <mergeCell ref="B6:B7"/>
    <mergeCell ref="C6:C7"/>
    <mergeCell ref="D6:D7"/>
    <mergeCell ref="E6:E7"/>
    <mergeCell ref="F6:F7"/>
  </mergeCells>
  <conditionalFormatting sqref="B8:B65">
    <cfRule type="colorScale" priority="11">
      <colorScale>
        <cfvo type="min"/>
        <cfvo type="max"/>
        <color rgb="FFFF0000"/>
        <color rgb="FF00B050"/>
      </colorScale>
    </cfRule>
  </conditionalFormatting>
  <conditionalFormatting sqref="C8:C65">
    <cfRule type="colorScale" priority="10">
      <colorScale>
        <cfvo type="min"/>
        <cfvo type="max"/>
        <color rgb="FFFF0000"/>
        <color rgb="FF00B050"/>
      </colorScale>
    </cfRule>
  </conditionalFormatting>
  <conditionalFormatting sqref="D8:D65">
    <cfRule type="colorScale" priority="9">
      <colorScale>
        <cfvo type="min"/>
        <cfvo type="max"/>
        <color rgb="FFFF0000"/>
        <color rgb="FF00B050"/>
      </colorScale>
    </cfRule>
  </conditionalFormatting>
  <conditionalFormatting sqref="E8:E65">
    <cfRule type="colorScale" priority="8">
      <colorScale>
        <cfvo type="min"/>
        <cfvo type="max"/>
        <color rgb="FFFF0000"/>
        <color rgb="FF00B050"/>
      </colorScale>
    </cfRule>
  </conditionalFormatting>
  <conditionalFormatting sqref="F8:F65">
    <cfRule type="colorScale" priority="7">
      <colorScale>
        <cfvo type="min"/>
        <cfvo type="max"/>
        <color rgb="FFFF0000"/>
        <color rgb="FF00B050"/>
      </colorScale>
    </cfRule>
  </conditionalFormatting>
  <conditionalFormatting sqref="G8:G65">
    <cfRule type="colorScale" priority="6">
      <colorScale>
        <cfvo type="min"/>
        <cfvo type="max"/>
        <color rgb="FFFF0000"/>
        <color rgb="FF00B050"/>
      </colorScale>
    </cfRule>
  </conditionalFormatting>
  <conditionalFormatting sqref="H8:H65">
    <cfRule type="colorScale" priority="5">
      <colorScale>
        <cfvo type="min"/>
        <cfvo type="max"/>
        <color rgb="FFFF0000"/>
        <color rgb="FF00B050"/>
      </colorScale>
    </cfRule>
  </conditionalFormatting>
  <conditionalFormatting sqref="I8:I65">
    <cfRule type="colorScale" priority="4">
      <colorScale>
        <cfvo type="min"/>
        <cfvo type="max"/>
        <color rgb="FFFF0000"/>
        <color rgb="FF00B050"/>
      </colorScale>
    </cfRule>
  </conditionalFormatting>
  <conditionalFormatting sqref="J8:J65">
    <cfRule type="colorScale" priority="3">
      <colorScale>
        <cfvo type="min"/>
        <cfvo type="max"/>
        <color rgb="FFFF0000"/>
        <color rgb="FF00B050"/>
      </colorScale>
    </cfRule>
  </conditionalFormatting>
  <conditionalFormatting sqref="K8:K65">
    <cfRule type="colorScale" priority="2">
      <colorScale>
        <cfvo type="min"/>
        <cfvo type="max"/>
        <color rgb="FFFF0000"/>
        <color rgb="FF00B050"/>
      </colorScale>
    </cfRule>
  </conditionalFormatting>
  <conditionalFormatting sqref="L8:L65">
    <cfRule type="colorScale" priority="1">
      <colorScale>
        <cfvo type="min"/>
        <cfvo type="max"/>
        <color rgb="FFFF0000"/>
        <color rgb="FF00B050"/>
      </colorScale>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B9385-0848-405A-82F7-B7F11C73E335}">
  <sheetPr codeName="Feuil3"/>
  <dimension ref="A1:BA328"/>
  <sheetViews>
    <sheetView workbookViewId="0">
      <selection activeCell="B7" sqref="B7"/>
    </sheetView>
  </sheetViews>
  <sheetFormatPr baseColWidth="10" defaultRowHeight="15" x14ac:dyDescent="0.25"/>
  <cols>
    <col min="1" max="1" width="42.7109375" style="1" customWidth="1"/>
    <col min="2" max="22" width="11.42578125" style="1"/>
    <col min="23" max="23" width="0" style="1" hidden="1" customWidth="1"/>
    <col min="24" max="16384" width="11.42578125" style="1"/>
  </cols>
  <sheetData>
    <row r="1" spans="1:53" ht="25.5" x14ac:dyDescent="0.4">
      <c r="A1" s="200" t="s">
        <v>189</v>
      </c>
      <c r="B1" s="200"/>
      <c r="C1" s="200"/>
      <c r="D1" s="200"/>
      <c r="E1" s="200"/>
      <c r="F1" s="16"/>
      <c r="G1" s="16"/>
      <c r="H1" s="16"/>
      <c r="I1" s="16"/>
      <c r="J1" s="16"/>
      <c r="K1" s="16"/>
      <c r="L1" s="16"/>
      <c r="M1" s="16"/>
      <c r="N1" s="16"/>
      <c r="O1" s="16"/>
      <c r="P1" s="16"/>
      <c r="Q1" s="16"/>
      <c r="R1" s="16"/>
      <c r="S1" s="16"/>
      <c r="T1" s="4"/>
      <c r="U1" s="16"/>
      <c r="V1" s="16"/>
      <c r="W1" s="4" t="s">
        <v>190</v>
      </c>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row>
    <row r="2" spans="1:53" x14ac:dyDescent="0.25">
      <c r="A2" s="16"/>
      <c r="B2" s="16"/>
      <c r="C2" s="16"/>
      <c r="D2" s="16"/>
      <c r="E2" s="16"/>
      <c r="F2" s="16"/>
      <c r="G2" s="16"/>
      <c r="H2" s="16"/>
      <c r="I2" s="16"/>
      <c r="J2" s="16"/>
      <c r="K2" s="16"/>
      <c r="L2" s="16"/>
      <c r="M2" s="16"/>
      <c r="N2" s="16"/>
      <c r="O2" s="16"/>
      <c r="P2" s="16"/>
      <c r="Q2" s="16"/>
      <c r="R2" s="16"/>
      <c r="S2" s="16"/>
      <c r="T2" s="4"/>
      <c r="U2" s="16"/>
      <c r="V2" s="16"/>
      <c r="W2" s="4" t="s">
        <v>250</v>
      </c>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row>
    <row r="3" spans="1:53" x14ac:dyDescent="0.25">
      <c r="A3" s="16"/>
      <c r="B3" s="16"/>
      <c r="C3" s="16"/>
      <c r="D3" s="16"/>
      <c r="E3" s="16"/>
      <c r="F3" s="16"/>
      <c r="G3" s="16"/>
      <c r="H3" s="16"/>
      <c r="I3" s="16"/>
      <c r="J3" s="16"/>
      <c r="K3" s="16"/>
      <c r="L3" s="16"/>
      <c r="M3" s="16"/>
      <c r="N3" s="16"/>
      <c r="O3" s="16"/>
      <c r="P3" s="16"/>
      <c r="Q3" s="16"/>
      <c r="R3" s="16"/>
      <c r="S3" s="16"/>
      <c r="T3" s="4"/>
      <c r="U3" s="16"/>
      <c r="V3" s="16"/>
      <c r="W3" s="4" t="s">
        <v>191</v>
      </c>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row>
    <row r="4" spans="1:53" ht="23.25" x14ac:dyDescent="0.35">
      <c r="A4" s="3" t="s">
        <v>192</v>
      </c>
      <c r="B4" s="4"/>
      <c r="C4" s="4"/>
      <c r="D4" s="4"/>
      <c r="E4" s="16"/>
      <c r="F4" s="16"/>
      <c r="G4" s="16"/>
      <c r="H4" s="16"/>
      <c r="I4" s="17"/>
      <c r="J4" s="16"/>
      <c r="K4" s="16"/>
      <c r="L4" s="16"/>
      <c r="M4" s="16"/>
      <c r="N4" s="16"/>
      <c r="O4" s="16"/>
      <c r="P4" s="16"/>
      <c r="Q4" s="16"/>
      <c r="R4" s="16"/>
      <c r="S4" s="16"/>
      <c r="T4" s="4"/>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row>
    <row r="5" spans="1:53" x14ac:dyDescent="0.25">
      <c r="A5" s="16"/>
      <c r="B5" s="16"/>
      <c r="C5" s="16"/>
      <c r="D5" s="16"/>
      <c r="E5" s="16"/>
      <c r="F5" s="16"/>
      <c r="G5" s="16"/>
      <c r="H5" s="4"/>
      <c r="I5" s="16"/>
      <c r="J5" s="16"/>
      <c r="K5" s="16"/>
      <c r="L5" s="16"/>
      <c r="M5" s="16"/>
      <c r="N5" s="16"/>
      <c r="O5" s="16"/>
      <c r="P5" s="16"/>
      <c r="Q5" s="16"/>
      <c r="R5" s="16"/>
      <c r="S5" s="16"/>
      <c r="T5" s="4"/>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row>
    <row r="6" spans="1:53" ht="15.75" thickBot="1" x14ac:dyDescent="0.3">
      <c r="A6" s="18"/>
      <c r="B6" s="18"/>
      <c r="C6" s="18"/>
      <c r="D6" s="18"/>
      <c r="E6" s="18"/>
      <c r="F6" s="18"/>
      <c r="G6" s="18"/>
      <c r="H6" s="5"/>
      <c r="I6" s="18"/>
      <c r="J6" s="18"/>
      <c r="K6" s="18"/>
      <c r="L6" s="18"/>
      <c r="M6" s="18"/>
      <c r="N6" s="18"/>
      <c r="O6" s="18"/>
      <c r="P6" s="18"/>
      <c r="Q6" s="18"/>
      <c r="R6" s="18"/>
      <c r="S6" s="18"/>
      <c r="T6" s="5"/>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53" ht="15.75" thickBot="1" x14ac:dyDescent="0.3">
      <c r="A7" s="148" t="s">
        <v>333</v>
      </c>
      <c r="B7" s="175">
        <v>1.83</v>
      </c>
      <c r="D7" s="169" t="s">
        <v>332</v>
      </c>
      <c r="E7" s="18"/>
      <c r="F7" s="18"/>
      <c r="G7" s="18"/>
      <c r="H7" s="18"/>
      <c r="I7" s="18"/>
      <c r="J7" s="18"/>
      <c r="K7" s="18"/>
      <c r="L7" s="18"/>
      <c r="M7" s="18"/>
      <c r="N7" s="18"/>
      <c r="O7" s="18"/>
      <c r="P7" s="18"/>
      <c r="Q7" s="18"/>
      <c r="R7" s="18"/>
      <c r="S7" s="18"/>
      <c r="T7" s="5"/>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row>
    <row r="8" spans="1:53" ht="15.75" thickBot="1" x14ac:dyDescent="0.3">
      <c r="A8" s="19"/>
      <c r="B8" s="18"/>
      <c r="D8" s="18"/>
      <c r="E8" s="18"/>
      <c r="F8" s="18"/>
      <c r="G8" s="18"/>
      <c r="H8" s="18"/>
      <c r="I8" s="18"/>
      <c r="J8" s="18"/>
      <c r="K8" s="18"/>
      <c r="L8" s="18"/>
      <c r="M8" s="18"/>
      <c r="N8" s="18"/>
      <c r="O8" s="18"/>
      <c r="P8" s="18"/>
      <c r="Q8" s="18"/>
      <c r="R8" s="18"/>
      <c r="S8" s="18"/>
      <c r="T8" s="5"/>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row>
    <row r="9" spans="1:53" ht="16.5" thickBot="1" x14ac:dyDescent="0.3">
      <c r="A9" s="148" t="s">
        <v>331</v>
      </c>
      <c r="B9" s="175">
        <v>87</v>
      </c>
      <c r="D9" s="169"/>
      <c r="E9" s="20"/>
      <c r="F9" s="21"/>
      <c r="G9" s="18"/>
      <c r="H9" s="18"/>
      <c r="I9" s="18"/>
      <c r="J9" s="18"/>
      <c r="K9" s="18"/>
      <c r="L9" s="18"/>
      <c r="M9" s="18"/>
      <c r="N9" s="18"/>
      <c r="O9" s="18"/>
      <c r="P9" s="18"/>
      <c r="Q9" s="18"/>
      <c r="R9" s="18"/>
      <c r="S9" s="18"/>
      <c r="T9" s="5"/>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row>
    <row r="10" spans="1:53" ht="15.75" thickBot="1" x14ac:dyDescent="0.3">
      <c r="A10" s="19"/>
      <c r="B10" s="18"/>
      <c r="D10" s="18"/>
      <c r="E10" s="18"/>
      <c r="F10" s="18"/>
      <c r="G10" s="18"/>
      <c r="H10" s="22"/>
      <c r="I10" s="18"/>
      <c r="J10" s="18"/>
      <c r="K10" s="18"/>
      <c r="L10" s="18"/>
      <c r="M10" s="18"/>
      <c r="N10" s="18"/>
      <c r="O10" s="18"/>
      <c r="P10" s="18"/>
      <c r="Q10" s="18"/>
      <c r="R10" s="18"/>
      <c r="S10" s="18"/>
      <c r="T10" s="5"/>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row r="11" spans="1:53" ht="16.5" thickBot="1" x14ac:dyDescent="0.3">
      <c r="A11" s="148" t="s">
        <v>330</v>
      </c>
      <c r="B11" s="189">
        <f>B9/(B7*B7)</f>
        <v>25.978679566424791</v>
      </c>
      <c r="D11" s="5"/>
      <c r="E11" s="6"/>
      <c r="F11" s="18"/>
      <c r="G11" s="18"/>
      <c r="H11" s="18"/>
      <c r="I11" s="18"/>
      <c r="J11" s="18"/>
      <c r="K11" s="18"/>
      <c r="L11" s="18"/>
      <c r="M11" s="18"/>
      <c r="N11" s="18"/>
      <c r="O11" s="18"/>
      <c r="P11" s="18"/>
      <c r="Q11" s="18"/>
      <c r="R11" s="18"/>
      <c r="S11" s="18"/>
      <c r="T11" s="5"/>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row>
    <row r="12" spans="1:53" x14ac:dyDescent="0.25">
      <c r="A12" s="23"/>
      <c r="B12" s="23"/>
      <c r="C12" s="18"/>
      <c r="D12" s="18"/>
      <c r="E12" s="18"/>
      <c r="F12" s="18"/>
      <c r="G12" s="18"/>
      <c r="H12" s="188"/>
      <c r="I12" s="18"/>
      <c r="J12" s="18"/>
      <c r="K12" s="18"/>
      <c r="L12" s="18"/>
      <c r="M12" s="18"/>
      <c r="N12" s="18"/>
      <c r="O12" s="18"/>
      <c r="P12" s="18"/>
      <c r="Q12" s="18"/>
      <c r="R12" s="18"/>
      <c r="S12" s="18"/>
      <c r="T12" s="5"/>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row>
    <row r="13" spans="1:53" x14ac:dyDescent="0.25">
      <c r="A13" s="16"/>
      <c r="B13" s="16"/>
      <c r="C13" s="16"/>
      <c r="D13" s="16"/>
      <c r="E13" s="16"/>
      <c r="F13" s="16"/>
      <c r="G13" s="16"/>
      <c r="H13" s="16"/>
      <c r="I13" s="16"/>
      <c r="J13" s="16"/>
      <c r="K13" s="16"/>
      <c r="L13" s="16"/>
      <c r="M13" s="16"/>
      <c r="N13" s="16"/>
      <c r="O13" s="16"/>
      <c r="P13" s="16"/>
      <c r="Q13" s="16"/>
      <c r="R13" s="16"/>
      <c r="S13" s="16"/>
      <c r="T13" s="4"/>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row>
    <row r="14" spans="1:53" ht="18.75" hidden="1" x14ac:dyDescent="0.3">
      <c r="A14" s="24" t="s">
        <v>193</v>
      </c>
      <c r="B14" s="16"/>
      <c r="C14" s="16"/>
      <c r="D14" s="16"/>
      <c r="E14" s="16"/>
      <c r="F14" s="25" t="e">
        <f>INDEX($B$16:$AZ$80,MATCH(#REF!,$B$16:$B$80,0),MATCH(#REF!,$B$16:$AZ$16,0))</f>
        <v>#REF!</v>
      </c>
      <c r="G14" s="16"/>
      <c r="H14" s="26" t="s">
        <v>194</v>
      </c>
      <c r="I14" s="16"/>
      <c r="J14" s="16"/>
      <c r="K14" s="16"/>
      <c r="L14" s="16"/>
      <c r="M14" s="16"/>
      <c r="N14" s="16"/>
      <c r="O14" s="16"/>
      <c r="P14" s="16"/>
      <c r="Q14" s="16"/>
      <c r="R14" s="16"/>
      <c r="S14" s="16"/>
      <c r="T14" s="4"/>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row>
    <row r="15" spans="1:53" hidden="1" x14ac:dyDescent="0.25">
      <c r="A15" s="16"/>
      <c r="B15" s="16"/>
      <c r="C15" s="16"/>
      <c r="D15" s="16"/>
      <c r="E15" s="16"/>
      <c r="F15" s="16"/>
      <c r="G15" s="16"/>
      <c r="H15" s="16"/>
      <c r="I15" s="16"/>
      <c r="J15" s="16"/>
      <c r="K15" s="16"/>
      <c r="L15" s="16"/>
      <c r="M15" s="16"/>
      <c r="N15" s="16"/>
      <c r="O15" s="16"/>
      <c r="P15" s="16"/>
      <c r="Q15" s="16"/>
      <c r="R15" s="16"/>
      <c r="S15" s="16"/>
      <c r="T15" s="4"/>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row>
    <row r="16" spans="1:53" hidden="1" x14ac:dyDescent="0.25">
      <c r="A16" s="27"/>
      <c r="B16" s="27"/>
      <c r="C16" s="28">
        <v>150</v>
      </c>
      <c r="D16" s="28">
        <v>151</v>
      </c>
      <c r="E16" s="28">
        <v>152</v>
      </c>
      <c r="F16" s="28">
        <v>153</v>
      </c>
      <c r="G16" s="28">
        <v>154</v>
      </c>
      <c r="H16" s="28">
        <v>155</v>
      </c>
      <c r="I16" s="28">
        <v>156</v>
      </c>
      <c r="J16" s="28">
        <v>157</v>
      </c>
      <c r="K16" s="28">
        <v>158</v>
      </c>
      <c r="L16" s="28">
        <v>159</v>
      </c>
      <c r="M16" s="28">
        <v>160</v>
      </c>
      <c r="N16" s="28">
        <v>161</v>
      </c>
      <c r="O16" s="28">
        <v>162</v>
      </c>
      <c r="P16" s="28">
        <v>163</v>
      </c>
      <c r="Q16" s="28">
        <v>164</v>
      </c>
      <c r="R16" s="28">
        <v>165</v>
      </c>
      <c r="S16" s="28">
        <v>166</v>
      </c>
      <c r="T16" s="184">
        <v>167</v>
      </c>
      <c r="U16" s="28">
        <v>168</v>
      </c>
      <c r="V16" s="28">
        <v>169</v>
      </c>
      <c r="W16" s="28">
        <v>170</v>
      </c>
      <c r="X16" s="28">
        <v>171</v>
      </c>
      <c r="Y16" s="28">
        <v>172</v>
      </c>
      <c r="Z16" s="28">
        <v>173</v>
      </c>
      <c r="AA16" s="28">
        <v>174</v>
      </c>
      <c r="AB16" s="28">
        <v>175</v>
      </c>
      <c r="AC16" s="28">
        <v>176</v>
      </c>
      <c r="AD16" s="28">
        <v>177</v>
      </c>
      <c r="AE16" s="28">
        <v>178</v>
      </c>
      <c r="AF16" s="28">
        <v>179</v>
      </c>
      <c r="AG16" s="28">
        <v>180</v>
      </c>
      <c r="AH16" s="28">
        <v>181</v>
      </c>
      <c r="AI16" s="28">
        <v>182</v>
      </c>
      <c r="AJ16" s="28">
        <v>183</v>
      </c>
      <c r="AK16" s="28">
        <v>184</v>
      </c>
      <c r="AL16" s="28">
        <v>185</v>
      </c>
      <c r="AM16" s="28">
        <v>186</v>
      </c>
      <c r="AN16" s="28">
        <v>187</v>
      </c>
      <c r="AO16" s="28">
        <v>188</v>
      </c>
      <c r="AP16" s="28">
        <v>189</v>
      </c>
      <c r="AQ16" s="28">
        <v>190</v>
      </c>
      <c r="AR16" s="28">
        <v>191</v>
      </c>
      <c r="AS16" s="28">
        <v>192</v>
      </c>
      <c r="AT16" s="28">
        <v>193</v>
      </c>
      <c r="AU16" s="28">
        <v>194</v>
      </c>
      <c r="AV16" s="28">
        <v>195</v>
      </c>
      <c r="AW16" s="28">
        <v>196</v>
      </c>
      <c r="AX16" s="28">
        <v>197</v>
      </c>
      <c r="AY16" s="28">
        <v>198</v>
      </c>
      <c r="AZ16" s="28">
        <v>199</v>
      </c>
      <c r="BA16" s="27"/>
    </row>
    <row r="17" spans="1:53" hidden="1" x14ac:dyDescent="0.25">
      <c r="A17" s="16"/>
      <c r="B17" s="16"/>
      <c r="C17" s="29" t="s">
        <v>195</v>
      </c>
      <c r="D17" s="29" t="s">
        <v>196</v>
      </c>
      <c r="E17" s="29" t="s">
        <v>197</v>
      </c>
      <c r="F17" s="29" t="s">
        <v>198</v>
      </c>
      <c r="G17" s="29" t="s">
        <v>199</v>
      </c>
      <c r="H17" s="29" t="s">
        <v>200</v>
      </c>
      <c r="I17" s="29" t="s">
        <v>201</v>
      </c>
      <c r="J17" s="29" t="s">
        <v>202</v>
      </c>
      <c r="K17" s="29" t="s">
        <v>203</v>
      </c>
      <c r="L17" s="29" t="s">
        <v>204</v>
      </c>
      <c r="M17" s="29" t="s">
        <v>205</v>
      </c>
      <c r="N17" s="29" t="s">
        <v>206</v>
      </c>
      <c r="O17" s="29" t="s">
        <v>207</v>
      </c>
      <c r="P17" s="29" t="s">
        <v>208</v>
      </c>
      <c r="Q17" s="29" t="s">
        <v>209</v>
      </c>
      <c r="R17" s="29" t="s">
        <v>210</v>
      </c>
      <c r="S17" s="29" t="s">
        <v>211</v>
      </c>
      <c r="T17" s="185" t="s">
        <v>212</v>
      </c>
      <c r="U17" s="29" t="s">
        <v>213</v>
      </c>
      <c r="V17" s="29" t="s">
        <v>214</v>
      </c>
      <c r="W17" s="29" t="s">
        <v>215</v>
      </c>
      <c r="X17" s="29" t="s">
        <v>216</v>
      </c>
      <c r="Y17" s="29" t="s">
        <v>217</v>
      </c>
      <c r="Z17" s="29" t="s">
        <v>218</v>
      </c>
      <c r="AA17" s="29" t="s">
        <v>219</v>
      </c>
      <c r="AB17" s="29" t="s">
        <v>220</v>
      </c>
      <c r="AC17" s="29" t="s">
        <v>221</v>
      </c>
      <c r="AD17" s="29" t="s">
        <v>222</v>
      </c>
      <c r="AE17" s="29" t="s">
        <v>223</v>
      </c>
      <c r="AF17" s="29" t="s">
        <v>224</v>
      </c>
      <c r="AG17" s="29" t="s">
        <v>225</v>
      </c>
      <c r="AH17" s="29" t="s">
        <v>226</v>
      </c>
      <c r="AI17" s="29" t="s">
        <v>227</v>
      </c>
      <c r="AJ17" s="29" t="s">
        <v>228</v>
      </c>
      <c r="AK17" s="29" t="s">
        <v>229</v>
      </c>
      <c r="AL17" s="29" t="s">
        <v>230</v>
      </c>
      <c r="AM17" s="29" t="s">
        <v>231</v>
      </c>
      <c r="AN17" s="29" t="s">
        <v>232</v>
      </c>
      <c r="AO17" s="29" t="s">
        <v>233</v>
      </c>
      <c r="AP17" s="29" t="s">
        <v>234</v>
      </c>
      <c r="AQ17" s="29" t="s">
        <v>235</v>
      </c>
      <c r="AR17" s="29" t="s">
        <v>236</v>
      </c>
      <c r="AS17" s="29" t="s">
        <v>237</v>
      </c>
      <c r="AT17" s="29" t="s">
        <v>238</v>
      </c>
      <c r="AU17" s="29" t="s">
        <v>239</v>
      </c>
      <c r="AV17" s="29" t="s">
        <v>240</v>
      </c>
      <c r="AW17" s="29" t="s">
        <v>241</v>
      </c>
      <c r="AX17" s="29" t="s">
        <v>242</v>
      </c>
      <c r="AY17" s="29" t="s">
        <v>243</v>
      </c>
      <c r="AZ17" s="29" t="s">
        <v>244</v>
      </c>
      <c r="BA17" s="16"/>
    </row>
    <row r="18" spans="1:53" hidden="1" x14ac:dyDescent="0.25">
      <c r="A18" s="30" t="s">
        <v>245</v>
      </c>
      <c r="B18" s="31">
        <v>18</v>
      </c>
      <c r="C18" s="32">
        <f>(C$16-100+$B18/10)*0.9</f>
        <v>46.62</v>
      </c>
      <c r="D18" s="32">
        <f t="shared" ref="D18:AL25" si="0">(D$16-100+$B18/10)*0.9</f>
        <v>47.519999999999996</v>
      </c>
      <c r="E18" s="32">
        <f t="shared" si="0"/>
        <v>48.42</v>
      </c>
      <c r="F18" s="32">
        <f t="shared" si="0"/>
        <v>49.32</v>
      </c>
      <c r="G18" s="32">
        <f t="shared" si="0"/>
        <v>50.22</v>
      </c>
      <c r="H18" s="32">
        <f t="shared" si="0"/>
        <v>51.12</v>
      </c>
      <c r="I18" s="32">
        <f t="shared" si="0"/>
        <v>52.019999999999996</v>
      </c>
      <c r="J18" s="32">
        <f t="shared" si="0"/>
        <v>52.92</v>
      </c>
      <c r="K18" s="32">
        <f t="shared" si="0"/>
        <v>53.82</v>
      </c>
      <c r="L18" s="32">
        <f t="shared" si="0"/>
        <v>54.72</v>
      </c>
      <c r="M18" s="32">
        <f t="shared" si="0"/>
        <v>55.62</v>
      </c>
      <c r="N18" s="32">
        <f t="shared" si="0"/>
        <v>56.519999999999996</v>
      </c>
      <c r="O18" s="32">
        <f t="shared" si="0"/>
        <v>57.42</v>
      </c>
      <c r="P18" s="32">
        <f t="shared" si="0"/>
        <v>58.32</v>
      </c>
      <c r="Q18" s="32">
        <f t="shared" si="0"/>
        <v>59.22</v>
      </c>
      <c r="R18" s="32">
        <f t="shared" si="0"/>
        <v>60.12</v>
      </c>
      <c r="S18" s="32">
        <f t="shared" si="0"/>
        <v>61.019999999999996</v>
      </c>
      <c r="T18" s="186">
        <f t="shared" si="0"/>
        <v>61.92</v>
      </c>
      <c r="U18" s="32">
        <f t="shared" si="0"/>
        <v>62.82</v>
      </c>
      <c r="V18" s="32">
        <f t="shared" si="0"/>
        <v>63.72</v>
      </c>
      <c r="W18" s="32">
        <f t="shared" si="0"/>
        <v>64.62</v>
      </c>
      <c r="X18" s="32">
        <f t="shared" si="0"/>
        <v>65.52</v>
      </c>
      <c r="Y18" s="32">
        <f t="shared" si="0"/>
        <v>66.42</v>
      </c>
      <c r="Z18" s="32">
        <f t="shared" si="0"/>
        <v>67.319999999999993</v>
      </c>
      <c r="AA18" s="32">
        <f t="shared" si="0"/>
        <v>68.22</v>
      </c>
      <c r="AB18" s="32">
        <f t="shared" si="0"/>
        <v>69.12</v>
      </c>
      <c r="AC18" s="32">
        <f t="shared" si="0"/>
        <v>70.02</v>
      </c>
      <c r="AD18" s="32">
        <f t="shared" si="0"/>
        <v>70.92</v>
      </c>
      <c r="AE18" s="32">
        <f t="shared" si="0"/>
        <v>71.819999999999993</v>
      </c>
      <c r="AF18" s="32">
        <f t="shared" si="0"/>
        <v>72.72</v>
      </c>
      <c r="AG18" s="32">
        <f t="shared" si="0"/>
        <v>73.62</v>
      </c>
      <c r="AH18" s="32">
        <f t="shared" si="0"/>
        <v>74.52</v>
      </c>
      <c r="AI18" s="32">
        <f t="shared" si="0"/>
        <v>75.42</v>
      </c>
      <c r="AJ18" s="32">
        <f t="shared" si="0"/>
        <v>76.319999999999993</v>
      </c>
      <c r="AK18" s="32">
        <f t="shared" si="0"/>
        <v>77.22</v>
      </c>
      <c r="AL18" s="32">
        <f t="shared" si="0"/>
        <v>78.12</v>
      </c>
      <c r="AM18" s="32">
        <f t="shared" ref="AM18:AZ33" si="1">(AM$16-100+$B18/10)*0.9</f>
        <v>79.02</v>
      </c>
      <c r="AN18" s="32">
        <f t="shared" si="1"/>
        <v>79.92</v>
      </c>
      <c r="AO18" s="32">
        <f t="shared" si="1"/>
        <v>80.819999999999993</v>
      </c>
      <c r="AP18" s="32">
        <f t="shared" si="1"/>
        <v>81.72</v>
      </c>
      <c r="AQ18" s="32">
        <f t="shared" si="1"/>
        <v>82.62</v>
      </c>
      <c r="AR18" s="32">
        <f t="shared" si="1"/>
        <v>83.52</v>
      </c>
      <c r="AS18" s="32">
        <f t="shared" si="1"/>
        <v>84.42</v>
      </c>
      <c r="AT18" s="32">
        <f t="shared" si="1"/>
        <v>85.32</v>
      </c>
      <c r="AU18" s="32">
        <f t="shared" si="1"/>
        <v>86.22</v>
      </c>
      <c r="AV18" s="32">
        <f t="shared" si="1"/>
        <v>87.12</v>
      </c>
      <c r="AW18" s="32">
        <f t="shared" si="1"/>
        <v>88.02</v>
      </c>
      <c r="AX18" s="32">
        <f t="shared" si="1"/>
        <v>88.92</v>
      </c>
      <c r="AY18" s="32">
        <f t="shared" si="1"/>
        <v>89.82</v>
      </c>
      <c r="AZ18" s="32">
        <f t="shared" si="1"/>
        <v>90.72</v>
      </c>
      <c r="BA18" s="16"/>
    </row>
    <row r="19" spans="1:53" hidden="1" x14ac:dyDescent="0.25">
      <c r="A19" s="16"/>
      <c r="B19" s="31">
        <v>19</v>
      </c>
      <c r="C19" s="32">
        <f t="shared" ref="C19:R41" si="2">(C$16-100+$B19/10)*0.9</f>
        <v>46.71</v>
      </c>
      <c r="D19" s="32">
        <f t="shared" si="0"/>
        <v>47.61</v>
      </c>
      <c r="E19" s="32">
        <f t="shared" si="0"/>
        <v>48.51</v>
      </c>
      <c r="F19" s="32">
        <f t="shared" si="0"/>
        <v>49.41</v>
      </c>
      <c r="G19" s="32">
        <f t="shared" si="0"/>
        <v>50.31</v>
      </c>
      <c r="H19" s="32">
        <f t="shared" si="0"/>
        <v>51.21</v>
      </c>
      <c r="I19" s="32">
        <f t="shared" si="0"/>
        <v>52.11</v>
      </c>
      <c r="J19" s="32">
        <f t="shared" si="0"/>
        <v>53.01</v>
      </c>
      <c r="K19" s="32">
        <f t="shared" si="0"/>
        <v>53.91</v>
      </c>
      <c r="L19" s="32">
        <f t="shared" si="0"/>
        <v>54.81</v>
      </c>
      <c r="M19" s="32">
        <f t="shared" si="0"/>
        <v>55.71</v>
      </c>
      <c r="N19" s="32">
        <f t="shared" si="0"/>
        <v>56.61</v>
      </c>
      <c r="O19" s="32">
        <f t="shared" si="0"/>
        <v>57.51</v>
      </c>
      <c r="P19" s="32">
        <f t="shared" si="0"/>
        <v>58.410000000000004</v>
      </c>
      <c r="Q19" s="32">
        <f t="shared" si="0"/>
        <v>59.310000000000009</v>
      </c>
      <c r="R19" s="32">
        <f t="shared" si="0"/>
        <v>60.210000000000008</v>
      </c>
      <c r="S19" s="32">
        <f t="shared" si="0"/>
        <v>61.110000000000007</v>
      </c>
      <c r="T19" s="186">
        <f t="shared" si="0"/>
        <v>62.010000000000005</v>
      </c>
      <c r="U19" s="32">
        <f t="shared" si="0"/>
        <v>62.910000000000004</v>
      </c>
      <c r="V19" s="32">
        <f t="shared" si="0"/>
        <v>63.810000000000009</v>
      </c>
      <c r="W19" s="32">
        <f t="shared" si="0"/>
        <v>64.710000000000008</v>
      </c>
      <c r="X19" s="32">
        <f t="shared" si="0"/>
        <v>65.610000000000014</v>
      </c>
      <c r="Y19" s="32">
        <f t="shared" si="0"/>
        <v>66.510000000000005</v>
      </c>
      <c r="Z19" s="32">
        <f t="shared" si="0"/>
        <v>67.410000000000011</v>
      </c>
      <c r="AA19" s="32">
        <f t="shared" si="0"/>
        <v>68.31</v>
      </c>
      <c r="AB19" s="32">
        <f t="shared" si="0"/>
        <v>69.210000000000008</v>
      </c>
      <c r="AC19" s="32">
        <f t="shared" si="0"/>
        <v>70.110000000000014</v>
      </c>
      <c r="AD19" s="32">
        <f t="shared" si="0"/>
        <v>71.010000000000005</v>
      </c>
      <c r="AE19" s="32">
        <f t="shared" si="0"/>
        <v>71.910000000000011</v>
      </c>
      <c r="AF19" s="32">
        <f t="shared" si="0"/>
        <v>72.81</v>
      </c>
      <c r="AG19" s="32">
        <f t="shared" si="0"/>
        <v>73.710000000000008</v>
      </c>
      <c r="AH19" s="32">
        <f t="shared" si="0"/>
        <v>74.610000000000014</v>
      </c>
      <c r="AI19" s="32">
        <f t="shared" si="0"/>
        <v>75.510000000000005</v>
      </c>
      <c r="AJ19" s="32">
        <f t="shared" si="0"/>
        <v>76.410000000000011</v>
      </c>
      <c r="AK19" s="32">
        <f t="shared" si="0"/>
        <v>77.31</v>
      </c>
      <c r="AL19" s="32">
        <f t="shared" si="0"/>
        <v>78.210000000000008</v>
      </c>
      <c r="AM19" s="32">
        <f t="shared" si="1"/>
        <v>79.110000000000014</v>
      </c>
      <c r="AN19" s="32">
        <f t="shared" si="1"/>
        <v>80.010000000000005</v>
      </c>
      <c r="AO19" s="32">
        <f t="shared" si="1"/>
        <v>80.910000000000011</v>
      </c>
      <c r="AP19" s="32">
        <f t="shared" si="1"/>
        <v>81.81</v>
      </c>
      <c r="AQ19" s="32">
        <f t="shared" si="1"/>
        <v>82.710000000000008</v>
      </c>
      <c r="AR19" s="32">
        <f t="shared" si="1"/>
        <v>83.610000000000014</v>
      </c>
      <c r="AS19" s="32">
        <f t="shared" si="1"/>
        <v>84.51</v>
      </c>
      <c r="AT19" s="32">
        <f t="shared" si="1"/>
        <v>85.410000000000011</v>
      </c>
      <c r="AU19" s="32">
        <f t="shared" si="1"/>
        <v>86.31</v>
      </c>
      <c r="AV19" s="32">
        <f t="shared" si="1"/>
        <v>87.210000000000008</v>
      </c>
      <c r="AW19" s="32">
        <f t="shared" si="1"/>
        <v>88.110000000000014</v>
      </c>
      <c r="AX19" s="32">
        <f t="shared" si="1"/>
        <v>89.01</v>
      </c>
      <c r="AY19" s="32">
        <f t="shared" si="1"/>
        <v>89.910000000000011</v>
      </c>
      <c r="AZ19" s="32">
        <f t="shared" si="1"/>
        <v>90.81</v>
      </c>
      <c r="BA19" s="16"/>
    </row>
    <row r="20" spans="1:53" hidden="1" x14ac:dyDescent="0.25">
      <c r="A20" s="16"/>
      <c r="B20" s="31">
        <v>20</v>
      </c>
      <c r="C20" s="32">
        <f t="shared" si="2"/>
        <v>46.800000000000004</v>
      </c>
      <c r="D20" s="32">
        <f t="shared" si="0"/>
        <v>47.7</v>
      </c>
      <c r="E20" s="32">
        <f t="shared" si="0"/>
        <v>48.6</v>
      </c>
      <c r="F20" s="32">
        <f t="shared" si="0"/>
        <v>49.5</v>
      </c>
      <c r="G20" s="32">
        <f t="shared" si="0"/>
        <v>50.4</v>
      </c>
      <c r="H20" s="32">
        <f t="shared" si="0"/>
        <v>51.300000000000004</v>
      </c>
      <c r="I20" s="32">
        <f t="shared" si="0"/>
        <v>52.2</v>
      </c>
      <c r="J20" s="32">
        <f t="shared" si="0"/>
        <v>53.1</v>
      </c>
      <c r="K20" s="32">
        <f t="shared" si="0"/>
        <v>54</v>
      </c>
      <c r="L20" s="32">
        <f t="shared" si="0"/>
        <v>54.9</v>
      </c>
      <c r="M20" s="32">
        <f t="shared" si="0"/>
        <v>55.800000000000004</v>
      </c>
      <c r="N20" s="32">
        <f t="shared" si="0"/>
        <v>56.7</v>
      </c>
      <c r="O20" s="32">
        <f t="shared" si="0"/>
        <v>57.6</v>
      </c>
      <c r="P20" s="32">
        <f t="shared" si="0"/>
        <v>58.5</v>
      </c>
      <c r="Q20" s="32">
        <f t="shared" si="0"/>
        <v>59.4</v>
      </c>
      <c r="R20" s="32">
        <f t="shared" si="0"/>
        <v>60.300000000000004</v>
      </c>
      <c r="S20" s="32">
        <f t="shared" si="0"/>
        <v>61.2</v>
      </c>
      <c r="T20" s="186">
        <f t="shared" si="0"/>
        <v>62.1</v>
      </c>
      <c r="U20" s="32">
        <f t="shared" si="0"/>
        <v>63</v>
      </c>
      <c r="V20" s="32">
        <f t="shared" si="0"/>
        <v>63.9</v>
      </c>
      <c r="W20" s="32">
        <f t="shared" si="0"/>
        <v>64.8</v>
      </c>
      <c r="X20" s="32">
        <f t="shared" si="0"/>
        <v>65.7</v>
      </c>
      <c r="Y20" s="32">
        <f t="shared" si="0"/>
        <v>66.600000000000009</v>
      </c>
      <c r="Z20" s="32">
        <f t="shared" si="0"/>
        <v>67.5</v>
      </c>
      <c r="AA20" s="32">
        <f t="shared" si="0"/>
        <v>68.400000000000006</v>
      </c>
      <c r="AB20" s="32">
        <f t="shared" si="0"/>
        <v>69.3</v>
      </c>
      <c r="AC20" s="32">
        <f t="shared" si="0"/>
        <v>70.2</v>
      </c>
      <c r="AD20" s="32">
        <f t="shared" si="0"/>
        <v>71.100000000000009</v>
      </c>
      <c r="AE20" s="32">
        <f t="shared" si="0"/>
        <v>72</v>
      </c>
      <c r="AF20" s="32">
        <f t="shared" si="0"/>
        <v>72.900000000000006</v>
      </c>
      <c r="AG20" s="32">
        <f t="shared" si="0"/>
        <v>73.8</v>
      </c>
      <c r="AH20" s="32">
        <f t="shared" si="0"/>
        <v>74.7</v>
      </c>
      <c r="AI20" s="32">
        <f t="shared" si="0"/>
        <v>75.600000000000009</v>
      </c>
      <c r="AJ20" s="32">
        <f t="shared" si="0"/>
        <v>76.5</v>
      </c>
      <c r="AK20" s="32">
        <f t="shared" si="0"/>
        <v>77.400000000000006</v>
      </c>
      <c r="AL20" s="32">
        <f t="shared" si="0"/>
        <v>78.3</v>
      </c>
      <c r="AM20" s="32">
        <f t="shared" si="1"/>
        <v>79.2</v>
      </c>
      <c r="AN20" s="32">
        <f t="shared" si="1"/>
        <v>80.100000000000009</v>
      </c>
      <c r="AO20" s="32">
        <f t="shared" si="1"/>
        <v>81</v>
      </c>
      <c r="AP20" s="32">
        <f t="shared" si="1"/>
        <v>81.900000000000006</v>
      </c>
      <c r="AQ20" s="32">
        <f t="shared" si="1"/>
        <v>82.8</v>
      </c>
      <c r="AR20" s="32">
        <f t="shared" si="1"/>
        <v>83.7</v>
      </c>
      <c r="AS20" s="32">
        <f t="shared" si="1"/>
        <v>84.600000000000009</v>
      </c>
      <c r="AT20" s="32">
        <f t="shared" si="1"/>
        <v>85.5</v>
      </c>
      <c r="AU20" s="32">
        <f t="shared" si="1"/>
        <v>86.4</v>
      </c>
      <c r="AV20" s="32">
        <f t="shared" si="1"/>
        <v>87.3</v>
      </c>
      <c r="AW20" s="32">
        <f t="shared" si="1"/>
        <v>88.2</v>
      </c>
      <c r="AX20" s="32">
        <f t="shared" si="1"/>
        <v>89.100000000000009</v>
      </c>
      <c r="AY20" s="32">
        <f t="shared" si="1"/>
        <v>90</v>
      </c>
      <c r="AZ20" s="32">
        <f t="shared" si="1"/>
        <v>90.9</v>
      </c>
      <c r="BA20" s="16"/>
    </row>
    <row r="21" spans="1:53" hidden="1" x14ac:dyDescent="0.25">
      <c r="A21" s="16"/>
      <c r="B21" s="31">
        <v>21</v>
      </c>
      <c r="C21" s="32">
        <f t="shared" si="2"/>
        <v>46.89</v>
      </c>
      <c r="D21" s="32">
        <f t="shared" si="0"/>
        <v>47.79</v>
      </c>
      <c r="E21" s="32">
        <f t="shared" si="0"/>
        <v>48.690000000000005</v>
      </c>
      <c r="F21" s="32">
        <f t="shared" si="0"/>
        <v>49.59</v>
      </c>
      <c r="G21" s="32">
        <f t="shared" si="0"/>
        <v>50.49</v>
      </c>
      <c r="H21" s="32">
        <f t="shared" si="0"/>
        <v>51.39</v>
      </c>
      <c r="I21" s="32">
        <f t="shared" si="0"/>
        <v>52.29</v>
      </c>
      <c r="J21" s="32">
        <f t="shared" si="0"/>
        <v>53.190000000000005</v>
      </c>
      <c r="K21" s="32">
        <f t="shared" si="0"/>
        <v>54.09</v>
      </c>
      <c r="L21" s="32">
        <f t="shared" si="0"/>
        <v>54.99</v>
      </c>
      <c r="M21" s="32">
        <f t="shared" si="0"/>
        <v>55.89</v>
      </c>
      <c r="N21" s="32">
        <f t="shared" si="0"/>
        <v>56.79</v>
      </c>
      <c r="O21" s="32">
        <f t="shared" si="0"/>
        <v>57.69</v>
      </c>
      <c r="P21" s="32">
        <f t="shared" si="0"/>
        <v>58.589999999999996</v>
      </c>
      <c r="Q21" s="32">
        <f t="shared" si="0"/>
        <v>59.489999999999995</v>
      </c>
      <c r="R21" s="32">
        <f t="shared" si="0"/>
        <v>60.389999999999993</v>
      </c>
      <c r="S21" s="32">
        <f t="shared" si="0"/>
        <v>61.29</v>
      </c>
      <c r="T21" s="186">
        <f t="shared" si="0"/>
        <v>62.19</v>
      </c>
      <c r="U21" s="32">
        <f t="shared" si="0"/>
        <v>63.089999999999996</v>
      </c>
      <c r="V21" s="32">
        <f t="shared" si="0"/>
        <v>63.989999999999995</v>
      </c>
      <c r="W21" s="32">
        <f t="shared" si="0"/>
        <v>64.89</v>
      </c>
      <c r="X21" s="32">
        <f t="shared" si="0"/>
        <v>65.789999999999992</v>
      </c>
      <c r="Y21" s="32">
        <f t="shared" si="0"/>
        <v>66.69</v>
      </c>
      <c r="Z21" s="32">
        <f t="shared" si="0"/>
        <v>67.59</v>
      </c>
      <c r="AA21" s="32">
        <f t="shared" si="0"/>
        <v>68.489999999999995</v>
      </c>
      <c r="AB21" s="32">
        <f t="shared" si="0"/>
        <v>69.39</v>
      </c>
      <c r="AC21" s="32">
        <f t="shared" si="0"/>
        <v>70.289999999999992</v>
      </c>
      <c r="AD21" s="32">
        <f t="shared" si="0"/>
        <v>71.19</v>
      </c>
      <c r="AE21" s="32">
        <f t="shared" si="0"/>
        <v>72.09</v>
      </c>
      <c r="AF21" s="32">
        <f t="shared" si="0"/>
        <v>72.989999999999995</v>
      </c>
      <c r="AG21" s="32">
        <f t="shared" si="0"/>
        <v>73.89</v>
      </c>
      <c r="AH21" s="32">
        <f t="shared" si="0"/>
        <v>74.789999999999992</v>
      </c>
      <c r="AI21" s="32">
        <f t="shared" si="0"/>
        <v>75.69</v>
      </c>
      <c r="AJ21" s="32">
        <f t="shared" si="0"/>
        <v>76.59</v>
      </c>
      <c r="AK21" s="32">
        <f t="shared" si="0"/>
        <v>77.489999999999995</v>
      </c>
      <c r="AL21" s="32">
        <f t="shared" si="0"/>
        <v>78.39</v>
      </c>
      <c r="AM21" s="32">
        <f t="shared" si="1"/>
        <v>79.289999999999992</v>
      </c>
      <c r="AN21" s="32">
        <f t="shared" si="1"/>
        <v>80.19</v>
      </c>
      <c r="AO21" s="32">
        <f t="shared" si="1"/>
        <v>81.09</v>
      </c>
      <c r="AP21" s="32">
        <f t="shared" si="1"/>
        <v>81.99</v>
      </c>
      <c r="AQ21" s="32">
        <f t="shared" si="1"/>
        <v>82.89</v>
      </c>
      <c r="AR21" s="32">
        <f t="shared" si="1"/>
        <v>83.789999999999992</v>
      </c>
      <c r="AS21" s="32">
        <f t="shared" si="1"/>
        <v>84.69</v>
      </c>
      <c r="AT21" s="32">
        <f t="shared" si="1"/>
        <v>85.59</v>
      </c>
      <c r="AU21" s="32">
        <f t="shared" si="1"/>
        <v>86.49</v>
      </c>
      <c r="AV21" s="32">
        <f t="shared" si="1"/>
        <v>87.39</v>
      </c>
      <c r="AW21" s="32">
        <f t="shared" si="1"/>
        <v>88.289999999999992</v>
      </c>
      <c r="AX21" s="32">
        <f t="shared" si="1"/>
        <v>89.19</v>
      </c>
      <c r="AY21" s="32">
        <f t="shared" si="1"/>
        <v>90.09</v>
      </c>
      <c r="AZ21" s="32">
        <f t="shared" si="1"/>
        <v>90.99</v>
      </c>
      <c r="BA21" s="16"/>
    </row>
    <row r="22" spans="1:53" hidden="1" x14ac:dyDescent="0.25">
      <c r="A22" s="16"/>
      <c r="B22" s="31">
        <v>22</v>
      </c>
      <c r="C22" s="32">
        <f t="shared" si="2"/>
        <v>46.980000000000004</v>
      </c>
      <c r="D22" s="32">
        <f t="shared" si="0"/>
        <v>47.88</v>
      </c>
      <c r="E22" s="32">
        <f t="shared" si="0"/>
        <v>48.78</v>
      </c>
      <c r="F22" s="32">
        <f t="shared" si="0"/>
        <v>49.680000000000007</v>
      </c>
      <c r="G22" s="32">
        <f t="shared" si="0"/>
        <v>50.580000000000005</v>
      </c>
      <c r="H22" s="32">
        <f t="shared" si="0"/>
        <v>51.480000000000004</v>
      </c>
      <c r="I22" s="32">
        <f t="shared" si="0"/>
        <v>52.38</v>
      </c>
      <c r="J22" s="32">
        <f t="shared" si="0"/>
        <v>53.28</v>
      </c>
      <c r="K22" s="32">
        <f t="shared" si="0"/>
        <v>54.180000000000007</v>
      </c>
      <c r="L22" s="32">
        <f t="shared" si="0"/>
        <v>55.080000000000005</v>
      </c>
      <c r="M22" s="32">
        <f t="shared" si="0"/>
        <v>55.980000000000004</v>
      </c>
      <c r="N22" s="32">
        <f t="shared" si="0"/>
        <v>56.88</v>
      </c>
      <c r="O22" s="32">
        <f t="shared" si="0"/>
        <v>57.78</v>
      </c>
      <c r="P22" s="32">
        <f t="shared" si="0"/>
        <v>58.680000000000007</v>
      </c>
      <c r="Q22" s="32">
        <f t="shared" si="0"/>
        <v>59.580000000000005</v>
      </c>
      <c r="R22" s="32">
        <f t="shared" si="0"/>
        <v>60.480000000000004</v>
      </c>
      <c r="S22" s="32">
        <f t="shared" si="0"/>
        <v>61.38</v>
      </c>
      <c r="T22" s="186">
        <f t="shared" si="0"/>
        <v>62.28</v>
      </c>
      <c r="U22" s="32">
        <f t="shared" si="0"/>
        <v>63.180000000000007</v>
      </c>
      <c r="V22" s="32">
        <f t="shared" si="0"/>
        <v>64.08</v>
      </c>
      <c r="W22" s="32">
        <f t="shared" si="0"/>
        <v>64.98</v>
      </c>
      <c r="X22" s="32">
        <f t="shared" si="0"/>
        <v>65.88000000000001</v>
      </c>
      <c r="Y22" s="32">
        <f t="shared" si="0"/>
        <v>66.78</v>
      </c>
      <c r="Z22" s="32">
        <f t="shared" si="0"/>
        <v>67.680000000000007</v>
      </c>
      <c r="AA22" s="32">
        <f t="shared" si="0"/>
        <v>68.58</v>
      </c>
      <c r="AB22" s="32">
        <f t="shared" si="0"/>
        <v>69.48</v>
      </c>
      <c r="AC22" s="32">
        <f t="shared" si="0"/>
        <v>70.38000000000001</v>
      </c>
      <c r="AD22" s="32">
        <f t="shared" si="0"/>
        <v>71.28</v>
      </c>
      <c r="AE22" s="32">
        <f t="shared" si="0"/>
        <v>72.180000000000007</v>
      </c>
      <c r="AF22" s="32">
        <f t="shared" si="0"/>
        <v>73.08</v>
      </c>
      <c r="AG22" s="32">
        <f t="shared" si="0"/>
        <v>73.98</v>
      </c>
      <c r="AH22" s="32">
        <f t="shared" si="0"/>
        <v>74.88000000000001</v>
      </c>
      <c r="AI22" s="32">
        <f t="shared" si="0"/>
        <v>75.78</v>
      </c>
      <c r="AJ22" s="32">
        <f t="shared" si="0"/>
        <v>76.680000000000007</v>
      </c>
      <c r="AK22" s="32">
        <f t="shared" si="0"/>
        <v>77.58</v>
      </c>
      <c r="AL22" s="32">
        <f t="shared" si="0"/>
        <v>78.48</v>
      </c>
      <c r="AM22" s="32">
        <f t="shared" si="1"/>
        <v>79.38000000000001</v>
      </c>
      <c r="AN22" s="32">
        <f t="shared" si="1"/>
        <v>80.28</v>
      </c>
      <c r="AO22" s="32">
        <f t="shared" si="1"/>
        <v>81.180000000000007</v>
      </c>
      <c r="AP22" s="32">
        <f t="shared" si="1"/>
        <v>82.08</v>
      </c>
      <c r="AQ22" s="32">
        <f t="shared" si="1"/>
        <v>82.98</v>
      </c>
      <c r="AR22" s="32">
        <f t="shared" si="1"/>
        <v>83.88000000000001</v>
      </c>
      <c r="AS22" s="32">
        <f t="shared" si="1"/>
        <v>84.78</v>
      </c>
      <c r="AT22" s="32">
        <f t="shared" si="1"/>
        <v>85.68</v>
      </c>
      <c r="AU22" s="32">
        <f t="shared" si="1"/>
        <v>86.58</v>
      </c>
      <c r="AV22" s="32">
        <f t="shared" si="1"/>
        <v>87.48</v>
      </c>
      <c r="AW22" s="32">
        <f t="shared" si="1"/>
        <v>88.38000000000001</v>
      </c>
      <c r="AX22" s="32">
        <f t="shared" si="1"/>
        <v>89.28</v>
      </c>
      <c r="AY22" s="32">
        <f t="shared" si="1"/>
        <v>90.18</v>
      </c>
      <c r="AZ22" s="32">
        <f t="shared" si="1"/>
        <v>91.08</v>
      </c>
      <c r="BA22" s="16"/>
    </row>
    <row r="23" spans="1:53" hidden="1" x14ac:dyDescent="0.25">
      <c r="A23" s="16"/>
      <c r="B23" s="31">
        <v>23</v>
      </c>
      <c r="C23" s="32">
        <f t="shared" si="2"/>
        <v>47.07</v>
      </c>
      <c r="D23" s="32">
        <f t="shared" si="0"/>
        <v>47.97</v>
      </c>
      <c r="E23" s="32">
        <f t="shared" si="0"/>
        <v>48.87</v>
      </c>
      <c r="F23" s="32">
        <f t="shared" si="0"/>
        <v>49.769999999999996</v>
      </c>
      <c r="G23" s="32">
        <f t="shared" si="0"/>
        <v>50.67</v>
      </c>
      <c r="H23" s="32">
        <f t="shared" si="0"/>
        <v>51.57</v>
      </c>
      <c r="I23" s="32">
        <f t="shared" si="0"/>
        <v>52.47</v>
      </c>
      <c r="J23" s="32">
        <f t="shared" si="0"/>
        <v>53.37</v>
      </c>
      <c r="K23" s="32">
        <f t="shared" si="0"/>
        <v>54.269999999999996</v>
      </c>
      <c r="L23" s="32">
        <f t="shared" si="0"/>
        <v>55.17</v>
      </c>
      <c r="M23" s="32">
        <f t="shared" si="0"/>
        <v>56.07</v>
      </c>
      <c r="N23" s="32">
        <f t="shared" si="0"/>
        <v>56.97</v>
      </c>
      <c r="O23" s="32">
        <f t="shared" si="0"/>
        <v>57.87</v>
      </c>
      <c r="P23" s="32">
        <f t="shared" si="0"/>
        <v>58.769999999999996</v>
      </c>
      <c r="Q23" s="32">
        <f t="shared" si="0"/>
        <v>59.67</v>
      </c>
      <c r="R23" s="32">
        <f t="shared" si="0"/>
        <v>60.57</v>
      </c>
      <c r="S23" s="32">
        <f t="shared" si="0"/>
        <v>61.47</v>
      </c>
      <c r="T23" s="186">
        <f t="shared" si="0"/>
        <v>62.37</v>
      </c>
      <c r="U23" s="32">
        <f t="shared" si="0"/>
        <v>63.269999999999996</v>
      </c>
      <c r="V23" s="32">
        <f t="shared" si="0"/>
        <v>64.17</v>
      </c>
      <c r="W23" s="32">
        <f t="shared" si="0"/>
        <v>65.069999999999993</v>
      </c>
      <c r="X23" s="32">
        <f t="shared" si="0"/>
        <v>65.97</v>
      </c>
      <c r="Y23" s="32">
        <f t="shared" si="0"/>
        <v>66.87</v>
      </c>
      <c r="Z23" s="32">
        <f t="shared" si="0"/>
        <v>67.77</v>
      </c>
      <c r="AA23" s="32">
        <f t="shared" si="0"/>
        <v>68.67</v>
      </c>
      <c r="AB23" s="32">
        <f t="shared" si="0"/>
        <v>69.569999999999993</v>
      </c>
      <c r="AC23" s="32">
        <f t="shared" si="0"/>
        <v>70.47</v>
      </c>
      <c r="AD23" s="32">
        <f t="shared" si="0"/>
        <v>71.37</v>
      </c>
      <c r="AE23" s="32">
        <f t="shared" si="0"/>
        <v>72.27</v>
      </c>
      <c r="AF23" s="32">
        <f t="shared" si="0"/>
        <v>73.17</v>
      </c>
      <c r="AG23" s="32">
        <f t="shared" si="0"/>
        <v>74.069999999999993</v>
      </c>
      <c r="AH23" s="32">
        <f t="shared" si="0"/>
        <v>74.97</v>
      </c>
      <c r="AI23" s="32">
        <f t="shared" si="0"/>
        <v>75.87</v>
      </c>
      <c r="AJ23" s="32">
        <f t="shared" si="0"/>
        <v>76.77</v>
      </c>
      <c r="AK23" s="32">
        <f t="shared" si="0"/>
        <v>77.67</v>
      </c>
      <c r="AL23" s="32">
        <f t="shared" si="0"/>
        <v>78.569999999999993</v>
      </c>
      <c r="AM23" s="32">
        <f t="shared" si="1"/>
        <v>79.47</v>
      </c>
      <c r="AN23" s="32">
        <f t="shared" si="1"/>
        <v>80.37</v>
      </c>
      <c r="AO23" s="32">
        <f t="shared" si="1"/>
        <v>81.27</v>
      </c>
      <c r="AP23" s="32">
        <f t="shared" si="1"/>
        <v>82.17</v>
      </c>
      <c r="AQ23" s="32">
        <f t="shared" si="1"/>
        <v>83.07</v>
      </c>
      <c r="AR23" s="32">
        <f t="shared" si="1"/>
        <v>83.97</v>
      </c>
      <c r="AS23" s="32">
        <f t="shared" si="1"/>
        <v>84.87</v>
      </c>
      <c r="AT23" s="32">
        <f t="shared" si="1"/>
        <v>85.77</v>
      </c>
      <c r="AU23" s="32">
        <f t="shared" si="1"/>
        <v>86.67</v>
      </c>
      <c r="AV23" s="32">
        <f t="shared" si="1"/>
        <v>87.57</v>
      </c>
      <c r="AW23" s="32">
        <f t="shared" si="1"/>
        <v>88.47</v>
      </c>
      <c r="AX23" s="32">
        <f t="shared" si="1"/>
        <v>89.37</v>
      </c>
      <c r="AY23" s="32">
        <f t="shared" si="1"/>
        <v>90.27</v>
      </c>
      <c r="AZ23" s="32">
        <f t="shared" si="1"/>
        <v>91.17</v>
      </c>
      <c r="BA23" s="16"/>
    </row>
    <row r="24" spans="1:53" hidden="1" x14ac:dyDescent="0.25">
      <c r="A24" s="16"/>
      <c r="B24" s="31">
        <v>24</v>
      </c>
      <c r="C24" s="32">
        <f t="shared" si="2"/>
        <v>47.16</v>
      </c>
      <c r="D24" s="32">
        <f t="shared" si="0"/>
        <v>48.06</v>
      </c>
      <c r="E24" s="32">
        <f t="shared" si="0"/>
        <v>48.96</v>
      </c>
      <c r="F24" s="32">
        <f t="shared" si="0"/>
        <v>49.86</v>
      </c>
      <c r="G24" s="32">
        <f t="shared" si="0"/>
        <v>50.76</v>
      </c>
      <c r="H24" s="32">
        <f t="shared" si="0"/>
        <v>51.66</v>
      </c>
      <c r="I24" s="32">
        <f t="shared" si="0"/>
        <v>52.56</v>
      </c>
      <c r="J24" s="32">
        <f t="shared" si="0"/>
        <v>53.46</v>
      </c>
      <c r="K24" s="32">
        <f t="shared" si="0"/>
        <v>54.36</v>
      </c>
      <c r="L24" s="32">
        <f t="shared" si="0"/>
        <v>55.26</v>
      </c>
      <c r="M24" s="32">
        <f t="shared" si="0"/>
        <v>56.16</v>
      </c>
      <c r="N24" s="32">
        <f t="shared" si="0"/>
        <v>57.06</v>
      </c>
      <c r="O24" s="32">
        <f t="shared" si="0"/>
        <v>57.960000000000008</v>
      </c>
      <c r="P24" s="32">
        <f t="shared" si="0"/>
        <v>58.860000000000007</v>
      </c>
      <c r="Q24" s="32">
        <f t="shared" si="0"/>
        <v>59.760000000000005</v>
      </c>
      <c r="R24" s="32">
        <f t="shared" si="0"/>
        <v>60.660000000000004</v>
      </c>
      <c r="S24" s="32">
        <f t="shared" si="0"/>
        <v>61.560000000000009</v>
      </c>
      <c r="T24" s="186">
        <f t="shared" si="0"/>
        <v>62.460000000000008</v>
      </c>
      <c r="U24" s="32">
        <f t="shared" si="0"/>
        <v>63.360000000000007</v>
      </c>
      <c r="V24" s="32">
        <f t="shared" si="0"/>
        <v>64.260000000000005</v>
      </c>
      <c r="W24" s="32">
        <f t="shared" si="0"/>
        <v>65.160000000000011</v>
      </c>
      <c r="X24" s="32">
        <f t="shared" si="0"/>
        <v>66.06</v>
      </c>
      <c r="Y24" s="32">
        <f t="shared" si="0"/>
        <v>66.960000000000008</v>
      </c>
      <c r="Z24" s="32">
        <f t="shared" si="0"/>
        <v>67.860000000000014</v>
      </c>
      <c r="AA24" s="32">
        <f t="shared" si="0"/>
        <v>68.760000000000005</v>
      </c>
      <c r="AB24" s="32">
        <f t="shared" si="0"/>
        <v>69.660000000000011</v>
      </c>
      <c r="AC24" s="32">
        <f t="shared" si="0"/>
        <v>70.56</v>
      </c>
      <c r="AD24" s="32">
        <f t="shared" si="0"/>
        <v>71.460000000000008</v>
      </c>
      <c r="AE24" s="32">
        <f t="shared" si="0"/>
        <v>72.360000000000014</v>
      </c>
      <c r="AF24" s="32">
        <f t="shared" si="0"/>
        <v>73.260000000000005</v>
      </c>
      <c r="AG24" s="32">
        <f t="shared" si="0"/>
        <v>74.160000000000011</v>
      </c>
      <c r="AH24" s="32">
        <f t="shared" si="0"/>
        <v>75.06</v>
      </c>
      <c r="AI24" s="32">
        <f t="shared" si="0"/>
        <v>75.960000000000008</v>
      </c>
      <c r="AJ24" s="32">
        <f t="shared" si="0"/>
        <v>76.860000000000014</v>
      </c>
      <c r="AK24" s="32">
        <f t="shared" si="0"/>
        <v>77.760000000000005</v>
      </c>
      <c r="AL24" s="32">
        <f t="shared" si="0"/>
        <v>78.660000000000011</v>
      </c>
      <c r="AM24" s="32">
        <f t="shared" si="1"/>
        <v>79.56</v>
      </c>
      <c r="AN24" s="32">
        <f t="shared" si="1"/>
        <v>80.460000000000008</v>
      </c>
      <c r="AO24" s="32">
        <f t="shared" si="1"/>
        <v>81.360000000000014</v>
      </c>
      <c r="AP24" s="32">
        <f t="shared" si="1"/>
        <v>82.26</v>
      </c>
      <c r="AQ24" s="32">
        <f t="shared" si="1"/>
        <v>83.160000000000011</v>
      </c>
      <c r="AR24" s="32">
        <f t="shared" si="1"/>
        <v>84.06</v>
      </c>
      <c r="AS24" s="32">
        <f t="shared" si="1"/>
        <v>84.960000000000008</v>
      </c>
      <c r="AT24" s="32">
        <f t="shared" si="1"/>
        <v>85.860000000000014</v>
      </c>
      <c r="AU24" s="32">
        <f t="shared" si="1"/>
        <v>86.76</v>
      </c>
      <c r="AV24" s="32">
        <f t="shared" si="1"/>
        <v>87.660000000000011</v>
      </c>
      <c r="AW24" s="32">
        <f t="shared" si="1"/>
        <v>88.56</v>
      </c>
      <c r="AX24" s="32">
        <f t="shared" si="1"/>
        <v>89.460000000000008</v>
      </c>
      <c r="AY24" s="32">
        <f t="shared" si="1"/>
        <v>90.360000000000014</v>
      </c>
      <c r="AZ24" s="32">
        <f t="shared" si="1"/>
        <v>91.26</v>
      </c>
      <c r="BA24" s="16"/>
    </row>
    <row r="25" spans="1:53" hidden="1" x14ac:dyDescent="0.25">
      <c r="A25" s="16"/>
      <c r="B25" s="31">
        <v>25</v>
      </c>
      <c r="C25" s="32">
        <f t="shared" si="2"/>
        <v>47.25</v>
      </c>
      <c r="D25" s="32">
        <f t="shared" si="0"/>
        <v>48.15</v>
      </c>
      <c r="E25" s="32">
        <f t="shared" si="0"/>
        <v>49.050000000000004</v>
      </c>
      <c r="F25" s="32">
        <f t="shared" si="0"/>
        <v>49.95</v>
      </c>
      <c r="G25" s="32">
        <f t="shared" si="0"/>
        <v>50.85</v>
      </c>
      <c r="H25" s="32">
        <f t="shared" si="0"/>
        <v>51.75</v>
      </c>
      <c r="I25" s="32">
        <f t="shared" si="0"/>
        <v>52.65</v>
      </c>
      <c r="J25" s="32">
        <f t="shared" si="0"/>
        <v>53.550000000000004</v>
      </c>
      <c r="K25" s="32">
        <f t="shared" si="0"/>
        <v>54.45</v>
      </c>
      <c r="L25" s="32">
        <f t="shared" si="0"/>
        <v>55.35</v>
      </c>
      <c r="M25" s="32">
        <f t="shared" si="0"/>
        <v>56.25</v>
      </c>
      <c r="N25" s="32">
        <f t="shared" ref="N25:AC56" si="3">(N$16-100+$B25/10)*0.9</f>
        <v>57.15</v>
      </c>
      <c r="O25" s="32">
        <f t="shared" si="3"/>
        <v>58.050000000000004</v>
      </c>
      <c r="P25" s="32">
        <f t="shared" si="3"/>
        <v>58.95</v>
      </c>
      <c r="Q25" s="32">
        <f t="shared" si="3"/>
        <v>59.85</v>
      </c>
      <c r="R25" s="32">
        <f t="shared" si="3"/>
        <v>60.75</v>
      </c>
      <c r="S25" s="32">
        <f t="shared" si="3"/>
        <v>61.65</v>
      </c>
      <c r="T25" s="186">
        <f t="shared" si="3"/>
        <v>62.550000000000004</v>
      </c>
      <c r="U25" s="32">
        <f t="shared" si="3"/>
        <v>63.45</v>
      </c>
      <c r="V25" s="32">
        <f t="shared" si="3"/>
        <v>64.350000000000009</v>
      </c>
      <c r="W25" s="32">
        <f t="shared" si="3"/>
        <v>65.25</v>
      </c>
      <c r="X25" s="32">
        <f t="shared" si="3"/>
        <v>66.150000000000006</v>
      </c>
      <c r="Y25" s="32">
        <f t="shared" si="3"/>
        <v>67.05</v>
      </c>
      <c r="Z25" s="32">
        <f t="shared" si="3"/>
        <v>67.95</v>
      </c>
      <c r="AA25" s="32">
        <f t="shared" si="3"/>
        <v>68.850000000000009</v>
      </c>
      <c r="AB25" s="32">
        <f t="shared" si="3"/>
        <v>69.75</v>
      </c>
      <c r="AC25" s="32">
        <f t="shared" si="3"/>
        <v>70.650000000000006</v>
      </c>
      <c r="AD25" s="32">
        <f t="shared" ref="AD25:AS44" si="4">(AD$16-100+$B25/10)*0.9</f>
        <v>71.55</v>
      </c>
      <c r="AE25" s="32">
        <f t="shared" si="4"/>
        <v>72.45</v>
      </c>
      <c r="AF25" s="32">
        <f t="shared" si="4"/>
        <v>73.350000000000009</v>
      </c>
      <c r="AG25" s="32">
        <f t="shared" si="4"/>
        <v>74.25</v>
      </c>
      <c r="AH25" s="32">
        <f t="shared" si="4"/>
        <v>75.150000000000006</v>
      </c>
      <c r="AI25" s="32">
        <f t="shared" si="4"/>
        <v>76.05</v>
      </c>
      <c r="AJ25" s="32">
        <f t="shared" si="4"/>
        <v>76.95</v>
      </c>
      <c r="AK25" s="32">
        <f t="shared" si="4"/>
        <v>77.850000000000009</v>
      </c>
      <c r="AL25" s="32">
        <f t="shared" si="4"/>
        <v>78.75</v>
      </c>
      <c r="AM25" s="32">
        <f t="shared" si="1"/>
        <v>79.650000000000006</v>
      </c>
      <c r="AN25" s="32">
        <f t="shared" si="1"/>
        <v>80.55</v>
      </c>
      <c r="AO25" s="32">
        <f t="shared" si="1"/>
        <v>81.45</v>
      </c>
      <c r="AP25" s="32">
        <f t="shared" si="1"/>
        <v>82.350000000000009</v>
      </c>
      <c r="AQ25" s="32">
        <f t="shared" si="1"/>
        <v>83.25</v>
      </c>
      <c r="AR25" s="32">
        <f t="shared" si="1"/>
        <v>84.15</v>
      </c>
      <c r="AS25" s="32">
        <f t="shared" si="1"/>
        <v>85.05</v>
      </c>
      <c r="AT25" s="32">
        <f t="shared" si="1"/>
        <v>85.95</v>
      </c>
      <c r="AU25" s="32">
        <f t="shared" si="1"/>
        <v>86.850000000000009</v>
      </c>
      <c r="AV25" s="32">
        <f t="shared" si="1"/>
        <v>87.75</v>
      </c>
      <c r="AW25" s="32">
        <f t="shared" si="1"/>
        <v>88.65</v>
      </c>
      <c r="AX25" s="32">
        <f t="shared" si="1"/>
        <v>89.55</v>
      </c>
      <c r="AY25" s="32">
        <f t="shared" si="1"/>
        <v>90.45</v>
      </c>
      <c r="AZ25" s="32">
        <f t="shared" si="1"/>
        <v>91.350000000000009</v>
      </c>
      <c r="BA25" s="16"/>
    </row>
    <row r="26" spans="1:53" hidden="1" x14ac:dyDescent="0.25">
      <c r="A26" s="16"/>
      <c r="B26" s="31">
        <v>26</v>
      </c>
      <c r="C26" s="32">
        <f t="shared" si="2"/>
        <v>47.34</v>
      </c>
      <c r="D26" s="32">
        <f t="shared" si="2"/>
        <v>48.24</v>
      </c>
      <c r="E26" s="32">
        <f t="shared" si="2"/>
        <v>49.14</v>
      </c>
      <c r="F26" s="32">
        <f t="shared" si="2"/>
        <v>50.04</v>
      </c>
      <c r="G26" s="32">
        <f t="shared" si="2"/>
        <v>50.940000000000005</v>
      </c>
      <c r="H26" s="32">
        <f t="shared" si="2"/>
        <v>51.84</v>
      </c>
      <c r="I26" s="32">
        <f t="shared" si="2"/>
        <v>52.74</v>
      </c>
      <c r="J26" s="32">
        <f t="shared" si="2"/>
        <v>53.64</v>
      </c>
      <c r="K26" s="32">
        <f t="shared" si="2"/>
        <v>54.54</v>
      </c>
      <c r="L26" s="32">
        <f t="shared" si="2"/>
        <v>55.440000000000005</v>
      </c>
      <c r="M26" s="32">
        <f t="shared" si="2"/>
        <v>56.34</v>
      </c>
      <c r="N26" s="32">
        <f t="shared" si="2"/>
        <v>57.24</v>
      </c>
      <c r="O26" s="32">
        <f t="shared" si="2"/>
        <v>58.139999999999993</v>
      </c>
      <c r="P26" s="32">
        <f t="shared" si="2"/>
        <v>59.04</v>
      </c>
      <c r="Q26" s="32">
        <f t="shared" si="2"/>
        <v>59.94</v>
      </c>
      <c r="R26" s="32">
        <f t="shared" si="2"/>
        <v>60.839999999999996</v>
      </c>
      <c r="S26" s="32">
        <f t="shared" si="3"/>
        <v>61.739999999999995</v>
      </c>
      <c r="T26" s="186">
        <f t="shared" si="3"/>
        <v>62.639999999999993</v>
      </c>
      <c r="U26" s="32">
        <f t="shared" si="3"/>
        <v>63.54</v>
      </c>
      <c r="V26" s="32">
        <f t="shared" si="3"/>
        <v>64.44</v>
      </c>
      <c r="W26" s="32">
        <f t="shared" si="3"/>
        <v>65.34</v>
      </c>
      <c r="X26" s="32">
        <f t="shared" si="3"/>
        <v>66.239999999999995</v>
      </c>
      <c r="Y26" s="32">
        <f t="shared" si="3"/>
        <v>67.14</v>
      </c>
      <c r="Z26" s="32">
        <f t="shared" si="3"/>
        <v>68.039999999999992</v>
      </c>
      <c r="AA26" s="32">
        <f t="shared" si="3"/>
        <v>68.94</v>
      </c>
      <c r="AB26" s="32">
        <f t="shared" si="3"/>
        <v>69.84</v>
      </c>
      <c r="AC26" s="32">
        <f t="shared" si="3"/>
        <v>70.739999999999995</v>
      </c>
      <c r="AD26" s="32">
        <f t="shared" si="4"/>
        <v>71.64</v>
      </c>
      <c r="AE26" s="32">
        <f t="shared" si="4"/>
        <v>72.539999999999992</v>
      </c>
      <c r="AF26" s="32">
        <f t="shared" si="4"/>
        <v>73.44</v>
      </c>
      <c r="AG26" s="32">
        <f t="shared" si="4"/>
        <v>74.34</v>
      </c>
      <c r="AH26" s="32">
        <f t="shared" si="4"/>
        <v>75.239999999999995</v>
      </c>
      <c r="AI26" s="32">
        <f t="shared" si="4"/>
        <v>76.14</v>
      </c>
      <c r="AJ26" s="32">
        <f t="shared" si="4"/>
        <v>77.039999999999992</v>
      </c>
      <c r="AK26" s="32">
        <f t="shared" si="4"/>
        <v>77.94</v>
      </c>
      <c r="AL26" s="32">
        <f t="shared" si="4"/>
        <v>78.84</v>
      </c>
      <c r="AM26" s="32">
        <f t="shared" si="1"/>
        <v>79.739999999999995</v>
      </c>
      <c r="AN26" s="32">
        <f t="shared" si="1"/>
        <v>80.64</v>
      </c>
      <c r="AO26" s="32">
        <f t="shared" si="1"/>
        <v>81.539999999999992</v>
      </c>
      <c r="AP26" s="32">
        <f t="shared" si="1"/>
        <v>82.44</v>
      </c>
      <c r="AQ26" s="32">
        <f t="shared" si="1"/>
        <v>83.34</v>
      </c>
      <c r="AR26" s="32">
        <f t="shared" si="1"/>
        <v>84.24</v>
      </c>
      <c r="AS26" s="32">
        <f t="shared" si="1"/>
        <v>85.14</v>
      </c>
      <c r="AT26" s="32">
        <f t="shared" si="1"/>
        <v>86.039999999999992</v>
      </c>
      <c r="AU26" s="32">
        <f t="shared" si="1"/>
        <v>86.94</v>
      </c>
      <c r="AV26" s="32">
        <f t="shared" si="1"/>
        <v>87.84</v>
      </c>
      <c r="AW26" s="32">
        <f t="shared" si="1"/>
        <v>88.74</v>
      </c>
      <c r="AX26" s="32">
        <f t="shared" si="1"/>
        <v>89.64</v>
      </c>
      <c r="AY26" s="32">
        <f t="shared" si="1"/>
        <v>90.539999999999992</v>
      </c>
      <c r="AZ26" s="32">
        <f t="shared" si="1"/>
        <v>91.44</v>
      </c>
      <c r="BA26" s="16"/>
    </row>
    <row r="27" spans="1:53" hidden="1" x14ac:dyDescent="0.25">
      <c r="A27" s="16"/>
      <c r="B27" s="31">
        <v>27</v>
      </c>
      <c r="C27" s="32">
        <f t="shared" si="2"/>
        <v>47.430000000000007</v>
      </c>
      <c r="D27" s="32">
        <f t="shared" si="2"/>
        <v>48.330000000000005</v>
      </c>
      <c r="E27" s="32">
        <f t="shared" si="2"/>
        <v>49.230000000000004</v>
      </c>
      <c r="F27" s="32">
        <f t="shared" si="2"/>
        <v>50.13</v>
      </c>
      <c r="G27" s="32">
        <f t="shared" si="2"/>
        <v>51.03</v>
      </c>
      <c r="H27" s="32">
        <f t="shared" si="2"/>
        <v>51.930000000000007</v>
      </c>
      <c r="I27" s="32">
        <f t="shared" si="2"/>
        <v>52.830000000000005</v>
      </c>
      <c r="J27" s="32">
        <f t="shared" si="2"/>
        <v>53.730000000000004</v>
      </c>
      <c r="K27" s="32">
        <f t="shared" si="2"/>
        <v>54.63</v>
      </c>
      <c r="L27" s="32">
        <f t="shared" si="2"/>
        <v>55.53</v>
      </c>
      <c r="M27" s="32">
        <f t="shared" si="2"/>
        <v>56.430000000000007</v>
      </c>
      <c r="N27" s="32">
        <f t="shared" si="2"/>
        <v>57.330000000000005</v>
      </c>
      <c r="O27" s="32">
        <f t="shared" si="2"/>
        <v>58.230000000000004</v>
      </c>
      <c r="P27" s="32">
        <f t="shared" si="2"/>
        <v>59.13</v>
      </c>
      <c r="Q27" s="32">
        <f t="shared" si="2"/>
        <v>60.03</v>
      </c>
      <c r="R27" s="32">
        <f t="shared" si="2"/>
        <v>60.930000000000007</v>
      </c>
      <c r="S27" s="32">
        <f t="shared" si="3"/>
        <v>61.830000000000005</v>
      </c>
      <c r="T27" s="186">
        <f t="shared" si="3"/>
        <v>62.730000000000004</v>
      </c>
      <c r="U27" s="32">
        <f t="shared" si="3"/>
        <v>63.63</v>
      </c>
      <c r="V27" s="32">
        <f t="shared" si="3"/>
        <v>64.53</v>
      </c>
      <c r="W27" s="32">
        <f t="shared" si="3"/>
        <v>65.430000000000007</v>
      </c>
      <c r="X27" s="32">
        <f t="shared" si="3"/>
        <v>66.33</v>
      </c>
      <c r="Y27" s="32">
        <f t="shared" si="3"/>
        <v>67.23</v>
      </c>
      <c r="Z27" s="32">
        <f t="shared" si="3"/>
        <v>68.13000000000001</v>
      </c>
      <c r="AA27" s="32">
        <f t="shared" si="3"/>
        <v>69.03</v>
      </c>
      <c r="AB27" s="32">
        <f t="shared" si="3"/>
        <v>69.930000000000007</v>
      </c>
      <c r="AC27" s="32">
        <f t="shared" si="3"/>
        <v>70.83</v>
      </c>
      <c r="AD27" s="32">
        <f t="shared" si="4"/>
        <v>71.73</v>
      </c>
      <c r="AE27" s="32">
        <f t="shared" si="4"/>
        <v>72.63000000000001</v>
      </c>
      <c r="AF27" s="32">
        <f t="shared" si="4"/>
        <v>73.53</v>
      </c>
      <c r="AG27" s="32">
        <f t="shared" si="4"/>
        <v>74.430000000000007</v>
      </c>
      <c r="AH27" s="32">
        <f t="shared" si="4"/>
        <v>75.33</v>
      </c>
      <c r="AI27" s="32">
        <f t="shared" si="4"/>
        <v>76.23</v>
      </c>
      <c r="AJ27" s="32">
        <f t="shared" si="4"/>
        <v>77.13000000000001</v>
      </c>
      <c r="AK27" s="32">
        <f t="shared" si="4"/>
        <v>78.03</v>
      </c>
      <c r="AL27" s="32">
        <f t="shared" si="4"/>
        <v>78.930000000000007</v>
      </c>
      <c r="AM27" s="32">
        <f t="shared" si="1"/>
        <v>79.83</v>
      </c>
      <c r="AN27" s="32">
        <f t="shared" si="1"/>
        <v>80.73</v>
      </c>
      <c r="AO27" s="32">
        <f t="shared" si="1"/>
        <v>81.63000000000001</v>
      </c>
      <c r="AP27" s="32">
        <f t="shared" si="1"/>
        <v>82.53</v>
      </c>
      <c r="AQ27" s="32">
        <f t="shared" si="1"/>
        <v>83.43</v>
      </c>
      <c r="AR27" s="32">
        <f t="shared" si="1"/>
        <v>84.33</v>
      </c>
      <c r="AS27" s="32">
        <f t="shared" si="1"/>
        <v>85.23</v>
      </c>
      <c r="AT27" s="32">
        <f t="shared" si="1"/>
        <v>86.13000000000001</v>
      </c>
      <c r="AU27" s="32">
        <f t="shared" si="1"/>
        <v>87.03</v>
      </c>
      <c r="AV27" s="32">
        <f t="shared" si="1"/>
        <v>87.93</v>
      </c>
      <c r="AW27" s="32">
        <f t="shared" si="1"/>
        <v>88.83</v>
      </c>
      <c r="AX27" s="32">
        <f t="shared" si="1"/>
        <v>89.73</v>
      </c>
      <c r="AY27" s="32">
        <f t="shared" si="1"/>
        <v>90.63000000000001</v>
      </c>
      <c r="AZ27" s="32">
        <f t="shared" si="1"/>
        <v>91.53</v>
      </c>
      <c r="BA27" s="16"/>
    </row>
    <row r="28" spans="1:53" hidden="1" x14ac:dyDescent="0.25">
      <c r="A28" s="16"/>
      <c r="B28" s="31">
        <v>28</v>
      </c>
      <c r="C28" s="32">
        <f t="shared" si="2"/>
        <v>47.519999999999996</v>
      </c>
      <c r="D28" s="32">
        <f t="shared" si="2"/>
        <v>48.42</v>
      </c>
      <c r="E28" s="32">
        <f t="shared" si="2"/>
        <v>49.32</v>
      </c>
      <c r="F28" s="32">
        <f t="shared" si="2"/>
        <v>50.22</v>
      </c>
      <c r="G28" s="32">
        <f t="shared" si="2"/>
        <v>51.12</v>
      </c>
      <c r="H28" s="32">
        <f t="shared" si="2"/>
        <v>52.019999999999996</v>
      </c>
      <c r="I28" s="32">
        <f t="shared" si="2"/>
        <v>52.92</v>
      </c>
      <c r="J28" s="32">
        <f t="shared" si="2"/>
        <v>53.82</v>
      </c>
      <c r="K28" s="32">
        <f t="shared" si="2"/>
        <v>54.72</v>
      </c>
      <c r="L28" s="32">
        <f t="shared" si="2"/>
        <v>55.62</v>
      </c>
      <c r="M28" s="32">
        <f t="shared" si="2"/>
        <v>56.519999999999996</v>
      </c>
      <c r="N28" s="32">
        <f t="shared" si="2"/>
        <v>57.42</v>
      </c>
      <c r="O28" s="32">
        <f t="shared" si="2"/>
        <v>58.32</v>
      </c>
      <c r="P28" s="32">
        <f t="shared" si="2"/>
        <v>59.22</v>
      </c>
      <c r="Q28" s="32">
        <f t="shared" si="2"/>
        <v>60.12</v>
      </c>
      <c r="R28" s="32">
        <f t="shared" si="2"/>
        <v>61.019999999999996</v>
      </c>
      <c r="S28" s="32">
        <f t="shared" si="3"/>
        <v>61.92</v>
      </c>
      <c r="T28" s="186">
        <f t="shared" si="3"/>
        <v>62.82</v>
      </c>
      <c r="U28" s="32">
        <f t="shared" si="3"/>
        <v>63.72</v>
      </c>
      <c r="V28" s="32">
        <f t="shared" si="3"/>
        <v>64.62</v>
      </c>
      <c r="W28" s="32">
        <f t="shared" si="3"/>
        <v>65.52</v>
      </c>
      <c r="X28" s="32">
        <f t="shared" si="3"/>
        <v>66.42</v>
      </c>
      <c r="Y28" s="32">
        <f t="shared" si="3"/>
        <v>67.319999999999993</v>
      </c>
      <c r="Z28" s="32">
        <f t="shared" si="3"/>
        <v>68.22</v>
      </c>
      <c r="AA28" s="32">
        <f t="shared" si="3"/>
        <v>69.12</v>
      </c>
      <c r="AB28" s="32">
        <f t="shared" si="3"/>
        <v>70.02</v>
      </c>
      <c r="AC28" s="32">
        <f t="shared" si="3"/>
        <v>70.92</v>
      </c>
      <c r="AD28" s="32">
        <f t="shared" si="4"/>
        <v>71.819999999999993</v>
      </c>
      <c r="AE28" s="32">
        <f t="shared" si="4"/>
        <v>72.72</v>
      </c>
      <c r="AF28" s="32">
        <f t="shared" si="4"/>
        <v>73.62</v>
      </c>
      <c r="AG28" s="32">
        <f t="shared" si="4"/>
        <v>74.52</v>
      </c>
      <c r="AH28" s="32">
        <f t="shared" si="4"/>
        <v>75.42</v>
      </c>
      <c r="AI28" s="32">
        <f t="shared" si="4"/>
        <v>76.319999999999993</v>
      </c>
      <c r="AJ28" s="32">
        <f t="shared" si="4"/>
        <v>77.22</v>
      </c>
      <c r="AK28" s="32">
        <f t="shared" si="4"/>
        <v>78.12</v>
      </c>
      <c r="AL28" s="32">
        <f t="shared" si="4"/>
        <v>79.02</v>
      </c>
      <c r="AM28" s="32">
        <f t="shared" si="1"/>
        <v>79.92</v>
      </c>
      <c r="AN28" s="32">
        <f t="shared" si="1"/>
        <v>80.819999999999993</v>
      </c>
      <c r="AO28" s="32">
        <f t="shared" si="1"/>
        <v>81.72</v>
      </c>
      <c r="AP28" s="32">
        <f t="shared" si="1"/>
        <v>82.62</v>
      </c>
      <c r="AQ28" s="32">
        <f t="shared" si="1"/>
        <v>83.52</v>
      </c>
      <c r="AR28" s="32">
        <f t="shared" si="1"/>
        <v>84.42</v>
      </c>
      <c r="AS28" s="32">
        <f t="shared" si="1"/>
        <v>85.32</v>
      </c>
      <c r="AT28" s="32">
        <f t="shared" si="1"/>
        <v>86.22</v>
      </c>
      <c r="AU28" s="32">
        <f t="shared" si="1"/>
        <v>87.12</v>
      </c>
      <c r="AV28" s="32">
        <f t="shared" si="1"/>
        <v>88.02</v>
      </c>
      <c r="AW28" s="32">
        <f t="shared" si="1"/>
        <v>88.92</v>
      </c>
      <c r="AX28" s="32">
        <f t="shared" si="1"/>
        <v>89.82</v>
      </c>
      <c r="AY28" s="32">
        <f t="shared" si="1"/>
        <v>90.72</v>
      </c>
      <c r="AZ28" s="32">
        <f t="shared" si="1"/>
        <v>91.62</v>
      </c>
      <c r="BA28" s="16"/>
    </row>
    <row r="29" spans="1:53" hidden="1" x14ac:dyDescent="0.25">
      <c r="A29" s="16"/>
      <c r="B29" s="31">
        <v>29</v>
      </c>
      <c r="C29" s="32">
        <f t="shared" si="2"/>
        <v>47.61</v>
      </c>
      <c r="D29" s="32">
        <f t="shared" si="2"/>
        <v>48.51</v>
      </c>
      <c r="E29" s="32">
        <f t="shared" si="2"/>
        <v>49.41</v>
      </c>
      <c r="F29" s="32">
        <f t="shared" si="2"/>
        <v>50.31</v>
      </c>
      <c r="G29" s="32">
        <f t="shared" si="2"/>
        <v>51.21</v>
      </c>
      <c r="H29" s="32">
        <f t="shared" si="2"/>
        <v>52.11</v>
      </c>
      <c r="I29" s="32">
        <f t="shared" si="2"/>
        <v>53.01</v>
      </c>
      <c r="J29" s="32">
        <f t="shared" si="2"/>
        <v>53.91</v>
      </c>
      <c r="K29" s="32">
        <f t="shared" si="2"/>
        <v>54.81</v>
      </c>
      <c r="L29" s="32">
        <f t="shared" si="2"/>
        <v>55.71</v>
      </c>
      <c r="M29" s="32">
        <f t="shared" si="2"/>
        <v>56.61</v>
      </c>
      <c r="N29" s="32">
        <f t="shared" si="2"/>
        <v>57.51</v>
      </c>
      <c r="O29" s="32">
        <f t="shared" si="2"/>
        <v>58.410000000000004</v>
      </c>
      <c r="P29" s="32">
        <f t="shared" si="2"/>
        <v>59.310000000000009</v>
      </c>
      <c r="Q29" s="32">
        <f t="shared" si="2"/>
        <v>60.210000000000008</v>
      </c>
      <c r="R29" s="32">
        <f t="shared" si="2"/>
        <v>61.110000000000007</v>
      </c>
      <c r="S29" s="32">
        <f t="shared" si="3"/>
        <v>62.010000000000005</v>
      </c>
      <c r="T29" s="186">
        <f t="shared" si="3"/>
        <v>62.910000000000004</v>
      </c>
      <c r="U29" s="32">
        <f t="shared" si="3"/>
        <v>63.810000000000009</v>
      </c>
      <c r="V29" s="32">
        <f t="shared" si="3"/>
        <v>64.710000000000008</v>
      </c>
      <c r="W29" s="32">
        <f t="shared" si="3"/>
        <v>65.610000000000014</v>
      </c>
      <c r="X29" s="32">
        <f t="shared" si="3"/>
        <v>66.510000000000005</v>
      </c>
      <c r="Y29" s="32">
        <f t="shared" si="3"/>
        <v>67.410000000000011</v>
      </c>
      <c r="Z29" s="32">
        <f t="shared" si="3"/>
        <v>68.31</v>
      </c>
      <c r="AA29" s="32">
        <f t="shared" si="3"/>
        <v>69.210000000000008</v>
      </c>
      <c r="AB29" s="32">
        <f t="shared" si="3"/>
        <v>70.110000000000014</v>
      </c>
      <c r="AC29" s="32">
        <f t="shared" si="3"/>
        <v>71.010000000000005</v>
      </c>
      <c r="AD29" s="32">
        <f t="shared" si="4"/>
        <v>71.910000000000011</v>
      </c>
      <c r="AE29" s="32">
        <f t="shared" si="4"/>
        <v>72.81</v>
      </c>
      <c r="AF29" s="32">
        <f t="shared" si="4"/>
        <v>73.710000000000008</v>
      </c>
      <c r="AG29" s="32">
        <f t="shared" si="4"/>
        <v>74.610000000000014</v>
      </c>
      <c r="AH29" s="32">
        <f t="shared" si="4"/>
        <v>75.510000000000005</v>
      </c>
      <c r="AI29" s="32">
        <f t="shared" si="4"/>
        <v>76.410000000000011</v>
      </c>
      <c r="AJ29" s="32">
        <f t="shared" si="4"/>
        <v>77.31</v>
      </c>
      <c r="AK29" s="32">
        <f t="shared" si="4"/>
        <v>78.210000000000008</v>
      </c>
      <c r="AL29" s="32">
        <f t="shared" si="4"/>
        <v>79.110000000000014</v>
      </c>
      <c r="AM29" s="32">
        <f t="shared" si="1"/>
        <v>80.010000000000005</v>
      </c>
      <c r="AN29" s="32">
        <f t="shared" si="1"/>
        <v>80.910000000000011</v>
      </c>
      <c r="AO29" s="32">
        <f t="shared" si="1"/>
        <v>81.81</v>
      </c>
      <c r="AP29" s="32">
        <f t="shared" si="1"/>
        <v>82.710000000000008</v>
      </c>
      <c r="AQ29" s="32">
        <f t="shared" si="1"/>
        <v>83.610000000000014</v>
      </c>
      <c r="AR29" s="32">
        <f t="shared" si="1"/>
        <v>84.51</v>
      </c>
      <c r="AS29" s="32">
        <f t="shared" si="1"/>
        <v>85.410000000000011</v>
      </c>
      <c r="AT29" s="32">
        <f t="shared" si="1"/>
        <v>86.31</v>
      </c>
      <c r="AU29" s="32">
        <f t="shared" si="1"/>
        <v>87.210000000000008</v>
      </c>
      <c r="AV29" s="32">
        <f t="shared" si="1"/>
        <v>88.110000000000014</v>
      </c>
      <c r="AW29" s="32">
        <f t="shared" si="1"/>
        <v>89.01</v>
      </c>
      <c r="AX29" s="32">
        <f t="shared" si="1"/>
        <v>89.910000000000011</v>
      </c>
      <c r="AY29" s="32">
        <f t="shared" si="1"/>
        <v>90.81</v>
      </c>
      <c r="AZ29" s="32">
        <f t="shared" si="1"/>
        <v>91.710000000000008</v>
      </c>
      <c r="BA29" s="16"/>
    </row>
    <row r="30" spans="1:53" hidden="1" x14ac:dyDescent="0.25">
      <c r="A30" s="16"/>
      <c r="B30" s="31">
        <v>30</v>
      </c>
      <c r="C30" s="32">
        <f t="shared" si="2"/>
        <v>47.7</v>
      </c>
      <c r="D30" s="32">
        <f t="shared" si="2"/>
        <v>48.6</v>
      </c>
      <c r="E30" s="32">
        <f t="shared" si="2"/>
        <v>49.5</v>
      </c>
      <c r="F30" s="32">
        <f t="shared" si="2"/>
        <v>50.4</v>
      </c>
      <c r="G30" s="32">
        <f t="shared" si="2"/>
        <v>51.300000000000004</v>
      </c>
      <c r="H30" s="32">
        <f t="shared" si="2"/>
        <v>52.2</v>
      </c>
      <c r="I30" s="32">
        <f t="shared" si="2"/>
        <v>53.1</v>
      </c>
      <c r="J30" s="32">
        <f t="shared" si="2"/>
        <v>54</v>
      </c>
      <c r="K30" s="32">
        <f t="shared" si="2"/>
        <v>54.9</v>
      </c>
      <c r="L30" s="32">
        <f t="shared" si="2"/>
        <v>55.800000000000004</v>
      </c>
      <c r="M30" s="32">
        <f t="shared" si="2"/>
        <v>56.7</v>
      </c>
      <c r="N30" s="32">
        <f t="shared" si="2"/>
        <v>57.6</v>
      </c>
      <c r="O30" s="32">
        <f t="shared" si="2"/>
        <v>58.5</v>
      </c>
      <c r="P30" s="32">
        <f t="shared" si="2"/>
        <v>59.4</v>
      </c>
      <c r="Q30" s="32">
        <f t="shared" si="2"/>
        <v>60.300000000000004</v>
      </c>
      <c r="R30" s="32">
        <f t="shared" si="2"/>
        <v>61.2</v>
      </c>
      <c r="S30" s="32">
        <f t="shared" si="3"/>
        <v>62.1</v>
      </c>
      <c r="T30" s="186">
        <f t="shared" si="3"/>
        <v>63</v>
      </c>
      <c r="U30" s="32">
        <f t="shared" si="3"/>
        <v>63.9</v>
      </c>
      <c r="V30" s="32">
        <f t="shared" si="3"/>
        <v>64.8</v>
      </c>
      <c r="W30" s="32">
        <f t="shared" si="3"/>
        <v>65.7</v>
      </c>
      <c r="X30" s="32">
        <f t="shared" si="3"/>
        <v>66.600000000000009</v>
      </c>
      <c r="Y30" s="32">
        <f t="shared" si="3"/>
        <v>67.5</v>
      </c>
      <c r="Z30" s="32">
        <f t="shared" si="3"/>
        <v>68.400000000000006</v>
      </c>
      <c r="AA30" s="32">
        <f t="shared" si="3"/>
        <v>69.3</v>
      </c>
      <c r="AB30" s="32">
        <f t="shared" si="3"/>
        <v>70.2</v>
      </c>
      <c r="AC30" s="32">
        <f t="shared" si="3"/>
        <v>71.100000000000009</v>
      </c>
      <c r="AD30" s="32">
        <f t="shared" si="4"/>
        <v>72</v>
      </c>
      <c r="AE30" s="32">
        <f t="shared" si="4"/>
        <v>72.900000000000006</v>
      </c>
      <c r="AF30" s="32">
        <f t="shared" si="4"/>
        <v>73.8</v>
      </c>
      <c r="AG30" s="32">
        <f t="shared" si="4"/>
        <v>74.7</v>
      </c>
      <c r="AH30" s="32">
        <f t="shared" si="4"/>
        <v>75.600000000000009</v>
      </c>
      <c r="AI30" s="32">
        <f t="shared" si="4"/>
        <v>76.5</v>
      </c>
      <c r="AJ30" s="32">
        <f t="shared" si="4"/>
        <v>77.400000000000006</v>
      </c>
      <c r="AK30" s="32">
        <f t="shared" si="4"/>
        <v>78.3</v>
      </c>
      <c r="AL30" s="32">
        <f t="shared" si="4"/>
        <v>79.2</v>
      </c>
      <c r="AM30" s="32">
        <f t="shared" si="1"/>
        <v>80.100000000000009</v>
      </c>
      <c r="AN30" s="32">
        <f t="shared" si="1"/>
        <v>81</v>
      </c>
      <c r="AO30" s="32">
        <f t="shared" si="1"/>
        <v>81.900000000000006</v>
      </c>
      <c r="AP30" s="32">
        <f t="shared" si="1"/>
        <v>82.8</v>
      </c>
      <c r="AQ30" s="32">
        <f t="shared" si="1"/>
        <v>83.7</v>
      </c>
      <c r="AR30" s="32">
        <f t="shared" si="1"/>
        <v>84.600000000000009</v>
      </c>
      <c r="AS30" s="32">
        <f t="shared" si="1"/>
        <v>85.5</v>
      </c>
      <c r="AT30" s="32">
        <f t="shared" si="1"/>
        <v>86.4</v>
      </c>
      <c r="AU30" s="32">
        <f t="shared" si="1"/>
        <v>87.3</v>
      </c>
      <c r="AV30" s="32">
        <f t="shared" si="1"/>
        <v>88.2</v>
      </c>
      <c r="AW30" s="32">
        <f t="shared" si="1"/>
        <v>89.100000000000009</v>
      </c>
      <c r="AX30" s="32">
        <f t="shared" si="1"/>
        <v>90</v>
      </c>
      <c r="AY30" s="32">
        <f t="shared" si="1"/>
        <v>90.9</v>
      </c>
      <c r="AZ30" s="32">
        <f t="shared" si="1"/>
        <v>91.8</v>
      </c>
      <c r="BA30" s="16"/>
    </row>
    <row r="31" spans="1:53" hidden="1" x14ac:dyDescent="0.25">
      <c r="A31" s="16"/>
      <c r="B31" s="31">
        <v>31</v>
      </c>
      <c r="C31" s="32">
        <f t="shared" si="2"/>
        <v>47.79</v>
      </c>
      <c r="D31" s="32">
        <f t="shared" si="2"/>
        <v>48.690000000000005</v>
      </c>
      <c r="E31" s="32">
        <f t="shared" si="2"/>
        <v>49.59</v>
      </c>
      <c r="F31" s="32">
        <f t="shared" si="2"/>
        <v>50.49</v>
      </c>
      <c r="G31" s="32">
        <f t="shared" si="2"/>
        <v>51.39</v>
      </c>
      <c r="H31" s="32">
        <f t="shared" si="2"/>
        <v>52.29</v>
      </c>
      <c r="I31" s="32">
        <f t="shared" si="2"/>
        <v>53.190000000000005</v>
      </c>
      <c r="J31" s="32">
        <f t="shared" si="2"/>
        <v>54.09</v>
      </c>
      <c r="K31" s="32">
        <f t="shared" si="2"/>
        <v>54.99</v>
      </c>
      <c r="L31" s="32">
        <f t="shared" si="2"/>
        <v>55.89</v>
      </c>
      <c r="M31" s="32">
        <f t="shared" si="2"/>
        <v>56.79</v>
      </c>
      <c r="N31" s="32">
        <f t="shared" si="2"/>
        <v>57.69</v>
      </c>
      <c r="O31" s="32">
        <f t="shared" si="2"/>
        <v>58.589999999999996</v>
      </c>
      <c r="P31" s="32">
        <f t="shared" si="2"/>
        <v>59.489999999999995</v>
      </c>
      <c r="Q31" s="32">
        <f t="shared" si="2"/>
        <v>60.389999999999993</v>
      </c>
      <c r="R31" s="32">
        <f t="shared" si="2"/>
        <v>61.29</v>
      </c>
      <c r="S31" s="32">
        <f t="shared" si="3"/>
        <v>62.19</v>
      </c>
      <c r="T31" s="186">
        <f t="shared" si="3"/>
        <v>63.089999999999996</v>
      </c>
      <c r="U31" s="32">
        <f t="shared" si="3"/>
        <v>63.989999999999995</v>
      </c>
      <c r="V31" s="32">
        <f t="shared" si="3"/>
        <v>64.89</v>
      </c>
      <c r="W31" s="32">
        <f t="shared" si="3"/>
        <v>65.789999999999992</v>
      </c>
      <c r="X31" s="32">
        <f t="shared" si="3"/>
        <v>66.69</v>
      </c>
      <c r="Y31" s="32">
        <f t="shared" si="3"/>
        <v>67.59</v>
      </c>
      <c r="Z31" s="32">
        <f t="shared" si="3"/>
        <v>68.489999999999995</v>
      </c>
      <c r="AA31" s="32">
        <f t="shared" si="3"/>
        <v>69.39</v>
      </c>
      <c r="AB31" s="32">
        <f t="shared" si="3"/>
        <v>70.289999999999992</v>
      </c>
      <c r="AC31" s="32">
        <f t="shared" si="3"/>
        <v>71.19</v>
      </c>
      <c r="AD31" s="32">
        <f t="shared" si="4"/>
        <v>72.09</v>
      </c>
      <c r="AE31" s="32">
        <f t="shared" si="4"/>
        <v>72.989999999999995</v>
      </c>
      <c r="AF31" s="32">
        <f t="shared" si="4"/>
        <v>73.89</v>
      </c>
      <c r="AG31" s="32">
        <f t="shared" si="4"/>
        <v>74.789999999999992</v>
      </c>
      <c r="AH31" s="32">
        <f t="shared" si="4"/>
        <v>75.69</v>
      </c>
      <c r="AI31" s="32">
        <f t="shared" si="4"/>
        <v>76.59</v>
      </c>
      <c r="AJ31" s="32">
        <f t="shared" si="4"/>
        <v>77.489999999999995</v>
      </c>
      <c r="AK31" s="32">
        <f t="shared" si="4"/>
        <v>78.39</v>
      </c>
      <c r="AL31" s="32">
        <f t="shared" si="4"/>
        <v>79.289999999999992</v>
      </c>
      <c r="AM31" s="32">
        <f t="shared" si="1"/>
        <v>80.19</v>
      </c>
      <c r="AN31" s="32">
        <f t="shared" si="1"/>
        <v>81.09</v>
      </c>
      <c r="AO31" s="32">
        <f t="shared" si="1"/>
        <v>81.99</v>
      </c>
      <c r="AP31" s="32">
        <f t="shared" si="1"/>
        <v>82.89</v>
      </c>
      <c r="AQ31" s="32">
        <f t="shared" si="1"/>
        <v>83.789999999999992</v>
      </c>
      <c r="AR31" s="32">
        <f t="shared" si="1"/>
        <v>84.69</v>
      </c>
      <c r="AS31" s="32">
        <f t="shared" si="1"/>
        <v>85.59</v>
      </c>
      <c r="AT31" s="32">
        <f t="shared" si="1"/>
        <v>86.49</v>
      </c>
      <c r="AU31" s="32">
        <f t="shared" si="1"/>
        <v>87.39</v>
      </c>
      <c r="AV31" s="32">
        <f t="shared" si="1"/>
        <v>88.289999999999992</v>
      </c>
      <c r="AW31" s="32">
        <f t="shared" si="1"/>
        <v>89.19</v>
      </c>
      <c r="AX31" s="32">
        <f t="shared" si="1"/>
        <v>90.09</v>
      </c>
      <c r="AY31" s="32">
        <f t="shared" si="1"/>
        <v>90.99</v>
      </c>
      <c r="AZ31" s="32">
        <f t="shared" si="1"/>
        <v>91.89</v>
      </c>
      <c r="BA31" s="16"/>
    </row>
    <row r="32" spans="1:53" hidden="1" x14ac:dyDescent="0.25">
      <c r="A32" s="16"/>
      <c r="B32" s="31">
        <v>32</v>
      </c>
      <c r="C32" s="32">
        <f t="shared" si="2"/>
        <v>47.88</v>
      </c>
      <c r="D32" s="32">
        <f t="shared" si="2"/>
        <v>48.78</v>
      </c>
      <c r="E32" s="32">
        <f t="shared" si="2"/>
        <v>49.680000000000007</v>
      </c>
      <c r="F32" s="32">
        <f t="shared" si="2"/>
        <v>50.580000000000005</v>
      </c>
      <c r="G32" s="32">
        <f t="shared" si="2"/>
        <v>51.480000000000004</v>
      </c>
      <c r="H32" s="32">
        <f t="shared" si="2"/>
        <v>52.38</v>
      </c>
      <c r="I32" s="32">
        <f t="shared" si="2"/>
        <v>53.28</v>
      </c>
      <c r="J32" s="32">
        <f t="shared" si="2"/>
        <v>54.180000000000007</v>
      </c>
      <c r="K32" s="32">
        <f t="shared" si="2"/>
        <v>55.080000000000005</v>
      </c>
      <c r="L32" s="32">
        <f t="shared" si="2"/>
        <v>55.980000000000004</v>
      </c>
      <c r="M32" s="32">
        <f t="shared" si="2"/>
        <v>56.88</v>
      </c>
      <c r="N32" s="32">
        <f t="shared" si="2"/>
        <v>57.78</v>
      </c>
      <c r="O32" s="32">
        <f t="shared" si="2"/>
        <v>58.680000000000007</v>
      </c>
      <c r="P32" s="32">
        <f t="shared" si="2"/>
        <v>59.580000000000005</v>
      </c>
      <c r="Q32" s="32">
        <f t="shared" si="2"/>
        <v>60.480000000000004</v>
      </c>
      <c r="R32" s="32">
        <f t="shared" si="2"/>
        <v>61.38</v>
      </c>
      <c r="S32" s="32">
        <f t="shared" si="3"/>
        <v>62.28</v>
      </c>
      <c r="T32" s="186">
        <f t="shared" si="3"/>
        <v>63.180000000000007</v>
      </c>
      <c r="U32" s="32">
        <f t="shared" si="3"/>
        <v>64.08</v>
      </c>
      <c r="V32" s="32">
        <f t="shared" si="3"/>
        <v>64.98</v>
      </c>
      <c r="W32" s="32">
        <f t="shared" si="3"/>
        <v>65.88000000000001</v>
      </c>
      <c r="X32" s="32">
        <f t="shared" si="3"/>
        <v>66.78</v>
      </c>
      <c r="Y32" s="32">
        <f t="shared" si="3"/>
        <v>67.680000000000007</v>
      </c>
      <c r="Z32" s="32">
        <f t="shared" si="3"/>
        <v>68.58</v>
      </c>
      <c r="AA32" s="32">
        <f t="shared" si="3"/>
        <v>69.48</v>
      </c>
      <c r="AB32" s="32">
        <f t="shared" si="3"/>
        <v>70.38000000000001</v>
      </c>
      <c r="AC32" s="32">
        <f t="shared" si="3"/>
        <v>71.28</v>
      </c>
      <c r="AD32" s="32">
        <f t="shared" si="4"/>
        <v>72.180000000000007</v>
      </c>
      <c r="AE32" s="32">
        <f t="shared" si="4"/>
        <v>73.08</v>
      </c>
      <c r="AF32" s="32">
        <f t="shared" si="4"/>
        <v>73.98</v>
      </c>
      <c r="AG32" s="32">
        <f t="shared" si="4"/>
        <v>74.88000000000001</v>
      </c>
      <c r="AH32" s="32">
        <f t="shared" si="4"/>
        <v>75.78</v>
      </c>
      <c r="AI32" s="32">
        <f t="shared" si="4"/>
        <v>76.680000000000007</v>
      </c>
      <c r="AJ32" s="32">
        <f t="shared" si="4"/>
        <v>77.58</v>
      </c>
      <c r="AK32" s="32">
        <f t="shared" si="4"/>
        <v>78.48</v>
      </c>
      <c r="AL32" s="32">
        <f t="shared" si="4"/>
        <v>79.38000000000001</v>
      </c>
      <c r="AM32" s="32">
        <f t="shared" si="1"/>
        <v>80.28</v>
      </c>
      <c r="AN32" s="32">
        <f t="shared" si="1"/>
        <v>81.180000000000007</v>
      </c>
      <c r="AO32" s="32">
        <f t="shared" si="1"/>
        <v>82.08</v>
      </c>
      <c r="AP32" s="32">
        <f t="shared" si="1"/>
        <v>82.98</v>
      </c>
      <c r="AQ32" s="32">
        <f t="shared" si="1"/>
        <v>83.88000000000001</v>
      </c>
      <c r="AR32" s="32">
        <f t="shared" si="1"/>
        <v>84.78</v>
      </c>
      <c r="AS32" s="32">
        <f t="shared" si="1"/>
        <v>85.68</v>
      </c>
      <c r="AT32" s="32">
        <f t="shared" si="1"/>
        <v>86.58</v>
      </c>
      <c r="AU32" s="32">
        <f t="shared" si="1"/>
        <v>87.48</v>
      </c>
      <c r="AV32" s="32">
        <f t="shared" si="1"/>
        <v>88.38000000000001</v>
      </c>
      <c r="AW32" s="32">
        <f t="shared" si="1"/>
        <v>89.28</v>
      </c>
      <c r="AX32" s="32">
        <f t="shared" si="1"/>
        <v>90.18</v>
      </c>
      <c r="AY32" s="32">
        <f t="shared" si="1"/>
        <v>91.08</v>
      </c>
      <c r="AZ32" s="32">
        <f t="shared" si="1"/>
        <v>91.98</v>
      </c>
      <c r="BA32" s="16"/>
    </row>
    <row r="33" spans="1:53" hidden="1" x14ac:dyDescent="0.25">
      <c r="A33" s="16"/>
      <c r="B33" s="31">
        <v>33</v>
      </c>
      <c r="C33" s="32">
        <f t="shared" si="2"/>
        <v>47.97</v>
      </c>
      <c r="D33" s="32">
        <f t="shared" si="2"/>
        <v>48.87</v>
      </c>
      <c r="E33" s="32">
        <f t="shared" si="2"/>
        <v>49.769999999999996</v>
      </c>
      <c r="F33" s="32">
        <f t="shared" si="2"/>
        <v>50.67</v>
      </c>
      <c r="G33" s="32">
        <f t="shared" si="2"/>
        <v>51.57</v>
      </c>
      <c r="H33" s="32">
        <f t="shared" si="2"/>
        <v>52.47</v>
      </c>
      <c r="I33" s="32">
        <f t="shared" si="2"/>
        <v>53.37</v>
      </c>
      <c r="J33" s="32">
        <f t="shared" si="2"/>
        <v>54.269999999999996</v>
      </c>
      <c r="K33" s="32">
        <f t="shared" si="2"/>
        <v>55.17</v>
      </c>
      <c r="L33" s="32">
        <f t="shared" si="2"/>
        <v>56.07</v>
      </c>
      <c r="M33" s="32">
        <f t="shared" si="2"/>
        <v>56.97</v>
      </c>
      <c r="N33" s="32">
        <f t="shared" si="2"/>
        <v>57.87</v>
      </c>
      <c r="O33" s="32">
        <f t="shared" si="2"/>
        <v>58.769999999999996</v>
      </c>
      <c r="P33" s="32">
        <f t="shared" si="2"/>
        <v>59.67</v>
      </c>
      <c r="Q33" s="32">
        <f t="shared" si="2"/>
        <v>60.57</v>
      </c>
      <c r="R33" s="32">
        <f t="shared" si="2"/>
        <v>61.47</v>
      </c>
      <c r="S33" s="32">
        <f t="shared" si="3"/>
        <v>62.37</v>
      </c>
      <c r="T33" s="186">
        <f t="shared" si="3"/>
        <v>63.269999999999996</v>
      </c>
      <c r="U33" s="32">
        <f t="shared" si="3"/>
        <v>64.17</v>
      </c>
      <c r="V33" s="32">
        <f t="shared" si="3"/>
        <v>65.069999999999993</v>
      </c>
      <c r="W33" s="32">
        <f t="shared" si="3"/>
        <v>65.97</v>
      </c>
      <c r="X33" s="32">
        <f t="shared" si="3"/>
        <v>66.87</v>
      </c>
      <c r="Y33" s="32">
        <f t="shared" si="3"/>
        <v>67.77</v>
      </c>
      <c r="Z33" s="32">
        <f t="shared" si="3"/>
        <v>68.67</v>
      </c>
      <c r="AA33" s="32">
        <f t="shared" si="3"/>
        <v>69.569999999999993</v>
      </c>
      <c r="AB33" s="32">
        <f t="shared" si="3"/>
        <v>70.47</v>
      </c>
      <c r="AC33" s="32">
        <f t="shared" si="3"/>
        <v>71.37</v>
      </c>
      <c r="AD33" s="32">
        <f t="shared" si="4"/>
        <v>72.27</v>
      </c>
      <c r="AE33" s="32">
        <f t="shared" si="4"/>
        <v>73.17</v>
      </c>
      <c r="AF33" s="32">
        <f t="shared" si="4"/>
        <v>74.069999999999993</v>
      </c>
      <c r="AG33" s="32">
        <f t="shared" si="4"/>
        <v>74.97</v>
      </c>
      <c r="AH33" s="32">
        <f t="shared" si="4"/>
        <v>75.87</v>
      </c>
      <c r="AI33" s="32">
        <f t="shared" si="4"/>
        <v>76.77</v>
      </c>
      <c r="AJ33" s="32">
        <f t="shared" si="4"/>
        <v>77.67</v>
      </c>
      <c r="AK33" s="32">
        <f t="shared" si="4"/>
        <v>78.569999999999993</v>
      </c>
      <c r="AL33" s="32">
        <f t="shared" si="4"/>
        <v>79.47</v>
      </c>
      <c r="AM33" s="32">
        <f t="shared" si="1"/>
        <v>80.37</v>
      </c>
      <c r="AN33" s="32">
        <f t="shared" si="1"/>
        <v>81.27</v>
      </c>
      <c r="AO33" s="32">
        <f t="shared" si="1"/>
        <v>82.17</v>
      </c>
      <c r="AP33" s="32">
        <f t="shared" si="1"/>
        <v>83.07</v>
      </c>
      <c r="AQ33" s="32">
        <f t="shared" si="1"/>
        <v>83.97</v>
      </c>
      <c r="AR33" s="32">
        <f t="shared" si="1"/>
        <v>84.87</v>
      </c>
      <c r="AS33" s="32">
        <f t="shared" si="1"/>
        <v>85.77</v>
      </c>
      <c r="AT33" s="32">
        <f t="shared" si="1"/>
        <v>86.67</v>
      </c>
      <c r="AU33" s="32">
        <f t="shared" si="1"/>
        <v>87.57</v>
      </c>
      <c r="AV33" s="32">
        <f t="shared" si="1"/>
        <v>88.47</v>
      </c>
      <c r="AW33" s="32">
        <f t="shared" si="1"/>
        <v>89.37</v>
      </c>
      <c r="AX33" s="32">
        <f t="shared" si="1"/>
        <v>90.27</v>
      </c>
      <c r="AY33" s="32">
        <f t="shared" si="1"/>
        <v>91.17</v>
      </c>
      <c r="AZ33" s="32">
        <f t="shared" si="1"/>
        <v>92.07</v>
      </c>
      <c r="BA33" s="16"/>
    </row>
    <row r="34" spans="1:53" hidden="1" x14ac:dyDescent="0.25">
      <c r="A34" s="16"/>
      <c r="B34" s="31">
        <v>34</v>
      </c>
      <c r="C34" s="32">
        <f t="shared" si="2"/>
        <v>48.06</v>
      </c>
      <c r="D34" s="32">
        <f t="shared" si="2"/>
        <v>48.96</v>
      </c>
      <c r="E34" s="32">
        <f t="shared" si="2"/>
        <v>49.86</v>
      </c>
      <c r="F34" s="32">
        <f t="shared" si="2"/>
        <v>50.76</v>
      </c>
      <c r="G34" s="32">
        <f t="shared" si="2"/>
        <v>51.66</v>
      </c>
      <c r="H34" s="32">
        <f t="shared" si="2"/>
        <v>52.56</v>
      </c>
      <c r="I34" s="32">
        <f t="shared" si="2"/>
        <v>53.46</v>
      </c>
      <c r="J34" s="32">
        <f t="shared" si="2"/>
        <v>54.36</v>
      </c>
      <c r="K34" s="32">
        <f t="shared" si="2"/>
        <v>55.26</v>
      </c>
      <c r="L34" s="32">
        <f t="shared" si="2"/>
        <v>56.16</v>
      </c>
      <c r="M34" s="32">
        <f t="shared" si="2"/>
        <v>57.06</v>
      </c>
      <c r="N34" s="32">
        <f t="shared" si="2"/>
        <v>57.960000000000008</v>
      </c>
      <c r="O34" s="32">
        <f t="shared" si="2"/>
        <v>58.860000000000007</v>
      </c>
      <c r="P34" s="32">
        <f t="shared" si="2"/>
        <v>59.760000000000005</v>
      </c>
      <c r="Q34" s="32">
        <f t="shared" si="2"/>
        <v>60.660000000000004</v>
      </c>
      <c r="R34" s="32">
        <f t="shared" si="2"/>
        <v>61.560000000000009</v>
      </c>
      <c r="S34" s="32">
        <f t="shared" si="3"/>
        <v>62.460000000000008</v>
      </c>
      <c r="T34" s="186">
        <f t="shared" si="3"/>
        <v>63.360000000000007</v>
      </c>
      <c r="U34" s="32">
        <f t="shared" si="3"/>
        <v>64.260000000000005</v>
      </c>
      <c r="V34" s="32">
        <f t="shared" si="3"/>
        <v>65.160000000000011</v>
      </c>
      <c r="W34" s="32">
        <f t="shared" si="3"/>
        <v>66.06</v>
      </c>
      <c r="X34" s="32">
        <f t="shared" si="3"/>
        <v>66.960000000000008</v>
      </c>
      <c r="Y34" s="32">
        <f t="shared" si="3"/>
        <v>67.860000000000014</v>
      </c>
      <c r="Z34" s="32">
        <f t="shared" si="3"/>
        <v>68.760000000000005</v>
      </c>
      <c r="AA34" s="32">
        <f t="shared" si="3"/>
        <v>69.660000000000011</v>
      </c>
      <c r="AB34" s="32">
        <f t="shared" si="3"/>
        <v>70.56</v>
      </c>
      <c r="AC34" s="32">
        <f t="shared" si="3"/>
        <v>71.460000000000008</v>
      </c>
      <c r="AD34" s="32">
        <f t="shared" si="4"/>
        <v>72.360000000000014</v>
      </c>
      <c r="AE34" s="32">
        <f t="shared" si="4"/>
        <v>73.260000000000005</v>
      </c>
      <c r="AF34" s="32">
        <f t="shared" si="4"/>
        <v>74.160000000000011</v>
      </c>
      <c r="AG34" s="32">
        <f t="shared" si="4"/>
        <v>75.06</v>
      </c>
      <c r="AH34" s="32">
        <f t="shared" si="4"/>
        <v>75.960000000000008</v>
      </c>
      <c r="AI34" s="32">
        <f t="shared" si="4"/>
        <v>76.860000000000014</v>
      </c>
      <c r="AJ34" s="32">
        <f t="shared" si="4"/>
        <v>77.760000000000005</v>
      </c>
      <c r="AK34" s="32">
        <f t="shared" si="4"/>
        <v>78.660000000000011</v>
      </c>
      <c r="AL34" s="32">
        <f t="shared" si="4"/>
        <v>79.56</v>
      </c>
      <c r="AM34" s="32">
        <f t="shared" si="4"/>
        <v>80.460000000000008</v>
      </c>
      <c r="AN34" s="32">
        <f t="shared" si="4"/>
        <v>81.360000000000014</v>
      </c>
      <c r="AO34" s="32">
        <f t="shared" si="4"/>
        <v>82.26</v>
      </c>
      <c r="AP34" s="32">
        <f t="shared" si="4"/>
        <v>83.160000000000011</v>
      </c>
      <c r="AQ34" s="32">
        <f t="shared" si="4"/>
        <v>84.06</v>
      </c>
      <c r="AR34" s="32">
        <f t="shared" si="4"/>
        <v>84.960000000000008</v>
      </c>
      <c r="AS34" s="32">
        <f t="shared" si="4"/>
        <v>85.860000000000014</v>
      </c>
      <c r="AT34" s="32">
        <f t="shared" ref="AT34:AZ43" si="5">(AT$16-100+$B34/10)*0.9</f>
        <v>86.76</v>
      </c>
      <c r="AU34" s="32">
        <f t="shared" si="5"/>
        <v>87.660000000000011</v>
      </c>
      <c r="AV34" s="32">
        <f t="shared" si="5"/>
        <v>88.56</v>
      </c>
      <c r="AW34" s="32">
        <f t="shared" si="5"/>
        <v>89.460000000000008</v>
      </c>
      <c r="AX34" s="32">
        <f t="shared" si="5"/>
        <v>90.360000000000014</v>
      </c>
      <c r="AY34" s="32">
        <f t="shared" si="5"/>
        <v>91.26</v>
      </c>
      <c r="AZ34" s="32">
        <f t="shared" si="5"/>
        <v>92.160000000000011</v>
      </c>
      <c r="BA34" s="16"/>
    </row>
    <row r="35" spans="1:53" hidden="1" x14ac:dyDescent="0.25">
      <c r="A35" s="16"/>
      <c r="B35" s="31">
        <v>35</v>
      </c>
      <c r="C35" s="32">
        <f t="shared" si="2"/>
        <v>48.15</v>
      </c>
      <c r="D35" s="32">
        <f t="shared" si="2"/>
        <v>49.050000000000004</v>
      </c>
      <c r="E35" s="32">
        <f t="shared" si="2"/>
        <v>49.95</v>
      </c>
      <c r="F35" s="32">
        <f t="shared" si="2"/>
        <v>50.85</v>
      </c>
      <c r="G35" s="32">
        <f t="shared" si="2"/>
        <v>51.75</v>
      </c>
      <c r="H35" s="32">
        <f t="shared" si="2"/>
        <v>52.65</v>
      </c>
      <c r="I35" s="32">
        <f t="shared" si="2"/>
        <v>53.550000000000004</v>
      </c>
      <c r="J35" s="32">
        <f t="shared" si="2"/>
        <v>54.45</v>
      </c>
      <c r="K35" s="32">
        <f t="shared" si="2"/>
        <v>55.35</v>
      </c>
      <c r="L35" s="32">
        <f t="shared" si="2"/>
        <v>56.25</v>
      </c>
      <c r="M35" s="32">
        <f t="shared" si="2"/>
        <v>57.15</v>
      </c>
      <c r="N35" s="32">
        <f t="shared" si="2"/>
        <v>58.050000000000004</v>
      </c>
      <c r="O35" s="32">
        <f t="shared" si="2"/>
        <v>58.95</v>
      </c>
      <c r="P35" s="32">
        <f t="shared" si="2"/>
        <v>59.85</v>
      </c>
      <c r="Q35" s="32">
        <f t="shared" si="2"/>
        <v>60.75</v>
      </c>
      <c r="R35" s="32">
        <f t="shared" si="2"/>
        <v>61.65</v>
      </c>
      <c r="S35" s="32">
        <f t="shared" si="3"/>
        <v>62.550000000000004</v>
      </c>
      <c r="T35" s="186">
        <f t="shared" si="3"/>
        <v>63.45</v>
      </c>
      <c r="U35" s="32">
        <f t="shared" si="3"/>
        <v>64.350000000000009</v>
      </c>
      <c r="V35" s="32">
        <f t="shared" si="3"/>
        <v>65.25</v>
      </c>
      <c r="W35" s="32">
        <f t="shared" si="3"/>
        <v>66.150000000000006</v>
      </c>
      <c r="X35" s="32">
        <f t="shared" si="3"/>
        <v>67.05</v>
      </c>
      <c r="Y35" s="32">
        <f t="shared" si="3"/>
        <v>67.95</v>
      </c>
      <c r="Z35" s="32">
        <f t="shared" si="3"/>
        <v>68.850000000000009</v>
      </c>
      <c r="AA35" s="32">
        <f t="shared" si="3"/>
        <v>69.75</v>
      </c>
      <c r="AB35" s="32">
        <f t="shared" si="3"/>
        <v>70.650000000000006</v>
      </c>
      <c r="AC35" s="32">
        <f t="shared" si="3"/>
        <v>71.55</v>
      </c>
      <c r="AD35" s="32">
        <f t="shared" si="4"/>
        <v>72.45</v>
      </c>
      <c r="AE35" s="32">
        <f t="shared" si="4"/>
        <v>73.350000000000009</v>
      </c>
      <c r="AF35" s="32">
        <f t="shared" si="4"/>
        <v>74.25</v>
      </c>
      <c r="AG35" s="32">
        <f t="shared" si="4"/>
        <v>75.150000000000006</v>
      </c>
      <c r="AH35" s="32">
        <f t="shared" si="4"/>
        <v>76.05</v>
      </c>
      <c r="AI35" s="32">
        <f t="shared" si="4"/>
        <v>76.95</v>
      </c>
      <c r="AJ35" s="32">
        <f t="shared" si="4"/>
        <v>77.850000000000009</v>
      </c>
      <c r="AK35" s="32">
        <f t="shared" si="4"/>
        <v>78.75</v>
      </c>
      <c r="AL35" s="32">
        <f t="shared" si="4"/>
        <v>79.650000000000006</v>
      </c>
      <c r="AM35" s="32">
        <f t="shared" si="4"/>
        <v>80.55</v>
      </c>
      <c r="AN35" s="32">
        <f t="shared" si="4"/>
        <v>81.45</v>
      </c>
      <c r="AO35" s="32">
        <f t="shared" si="4"/>
        <v>82.350000000000009</v>
      </c>
      <c r="AP35" s="32">
        <f t="shared" si="4"/>
        <v>83.25</v>
      </c>
      <c r="AQ35" s="32">
        <f t="shared" si="4"/>
        <v>84.15</v>
      </c>
      <c r="AR35" s="32">
        <f t="shared" si="4"/>
        <v>85.05</v>
      </c>
      <c r="AS35" s="32">
        <f t="shared" si="4"/>
        <v>85.95</v>
      </c>
      <c r="AT35" s="32">
        <f t="shared" si="5"/>
        <v>86.850000000000009</v>
      </c>
      <c r="AU35" s="32">
        <f t="shared" si="5"/>
        <v>87.75</v>
      </c>
      <c r="AV35" s="32">
        <f t="shared" si="5"/>
        <v>88.65</v>
      </c>
      <c r="AW35" s="32">
        <f t="shared" si="5"/>
        <v>89.55</v>
      </c>
      <c r="AX35" s="32">
        <f t="shared" si="5"/>
        <v>90.45</v>
      </c>
      <c r="AY35" s="32">
        <f t="shared" si="5"/>
        <v>91.350000000000009</v>
      </c>
      <c r="AZ35" s="32">
        <f t="shared" si="5"/>
        <v>92.25</v>
      </c>
      <c r="BA35" s="16"/>
    </row>
    <row r="36" spans="1:53" hidden="1" x14ac:dyDescent="0.25">
      <c r="A36" s="16"/>
      <c r="B36" s="31">
        <v>36</v>
      </c>
      <c r="C36" s="32">
        <f t="shared" si="2"/>
        <v>48.24</v>
      </c>
      <c r="D36" s="32">
        <f t="shared" si="2"/>
        <v>49.14</v>
      </c>
      <c r="E36" s="32">
        <f t="shared" si="2"/>
        <v>50.04</v>
      </c>
      <c r="F36" s="32">
        <f t="shared" si="2"/>
        <v>50.940000000000005</v>
      </c>
      <c r="G36" s="32">
        <f t="shared" si="2"/>
        <v>51.84</v>
      </c>
      <c r="H36" s="32">
        <f t="shared" si="2"/>
        <v>52.74</v>
      </c>
      <c r="I36" s="32">
        <f t="shared" si="2"/>
        <v>53.64</v>
      </c>
      <c r="J36" s="32">
        <f t="shared" si="2"/>
        <v>54.54</v>
      </c>
      <c r="K36" s="32">
        <f t="shared" si="2"/>
        <v>55.440000000000005</v>
      </c>
      <c r="L36" s="32">
        <f t="shared" si="2"/>
        <v>56.34</v>
      </c>
      <c r="M36" s="32">
        <f t="shared" si="2"/>
        <v>57.24</v>
      </c>
      <c r="N36" s="32">
        <f t="shared" si="2"/>
        <v>58.139999999999993</v>
      </c>
      <c r="O36" s="32">
        <f t="shared" si="2"/>
        <v>59.04</v>
      </c>
      <c r="P36" s="32">
        <f t="shared" si="2"/>
        <v>59.94</v>
      </c>
      <c r="Q36" s="32">
        <f t="shared" si="2"/>
        <v>60.839999999999996</v>
      </c>
      <c r="R36" s="32">
        <f t="shared" si="2"/>
        <v>61.739999999999995</v>
      </c>
      <c r="S36" s="32">
        <f t="shared" si="3"/>
        <v>62.639999999999993</v>
      </c>
      <c r="T36" s="186">
        <f t="shared" si="3"/>
        <v>63.54</v>
      </c>
      <c r="U36" s="32">
        <f t="shared" si="3"/>
        <v>64.44</v>
      </c>
      <c r="V36" s="32">
        <f t="shared" si="3"/>
        <v>65.34</v>
      </c>
      <c r="W36" s="32">
        <f t="shared" si="3"/>
        <v>66.239999999999995</v>
      </c>
      <c r="X36" s="32">
        <f t="shared" si="3"/>
        <v>67.14</v>
      </c>
      <c r="Y36" s="32">
        <f t="shared" si="3"/>
        <v>68.039999999999992</v>
      </c>
      <c r="Z36" s="32">
        <f t="shared" si="3"/>
        <v>68.94</v>
      </c>
      <c r="AA36" s="32">
        <f t="shared" si="3"/>
        <v>69.84</v>
      </c>
      <c r="AB36" s="32">
        <f t="shared" si="3"/>
        <v>70.739999999999995</v>
      </c>
      <c r="AC36" s="32">
        <f t="shared" si="3"/>
        <v>71.64</v>
      </c>
      <c r="AD36" s="32">
        <f t="shared" si="4"/>
        <v>72.539999999999992</v>
      </c>
      <c r="AE36" s="32">
        <f t="shared" si="4"/>
        <v>73.44</v>
      </c>
      <c r="AF36" s="32">
        <f t="shared" si="4"/>
        <v>74.34</v>
      </c>
      <c r="AG36" s="32">
        <f t="shared" si="4"/>
        <v>75.239999999999995</v>
      </c>
      <c r="AH36" s="32">
        <f t="shared" si="4"/>
        <v>76.14</v>
      </c>
      <c r="AI36" s="32">
        <f t="shared" si="4"/>
        <v>77.039999999999992</v>
      </c>
      <c r="AJ36" s="32">
        <f t="shared" si="4"/>
        <v>77.94</v>
      </c>
      <c r="AK36" s="32">
        <f t="shared" si="4"/>
        <v>78.84</v>
      </c>
      <c r="AL36" s="32">
        <f t="shared" si="4"/>
        <v>79.739999999999995</v>
      </c>
      <c r="AM36" s="32">
        <f t="shared" si="4"/>
        <v>80.64</v>
      </c>
      <c r="AN36" s="32">
        <f t="shared" si="4"/>
        <v>81.539999999999992</v>
      </c>
      <c r="AO36" s="32">
        <f t="shared" si="4"/>
        <v>82.44</v>
      </c>
      <c r="AP36" s="32">
        <f t="shared" si="4"/>
        <v>83.34</v>
      </c>
      <c r="AQ36" s="32">
        <f t="shared" si="4"/>
        <v>84.24</v>
      </c>
      <c r="AR36" s="32">
        <f t="shared" si="4"/>
        <v>85.14</v>
      </c>
      <c r="AS36" s="32">
        <f t="shared" si="4"/>
        <v>86.039999999999992</v>
      </c>
      <c r="AT36" s="32">
        <f t="shared" si="5"/>
        <v>86.94</v>
      </c>
      <c r="AU36" s="32">
        <f t="shared" si="5"/>
        <v>87.84</v>
      </c>
      <c r="AV36" s="32">
        <f t="shared" si="5"/>
        <v>88.74</v>
      </c>
      <c r="AW36" s="32">
        <f t="shared" si="5"/>
        <v>89.64</v>
      </c>
      <c r="AX36" s="32">
        <f t="shared" si="5"/>
        <v>90.539999999999992</v>
      </c>
      <c r="AY36" s="32">
        <f t="shared" si="5"/>
        <v>91.44</v>
      </c>
      <c r="AZ36" s="32">
        <f t="shared" si="5"/>
        <v>92.34</v>
      </c>
      <c r="BA36" s="16"/>
    </row>
    <row r="37" spans="1:53" hidden="1" x14ac:dyDescent="0.25">
      <c r="A37" s="16"/>
      <c r="B37" s="31">
        <v>37</v>
      </c>
      <c r="C37" s="32">
        <f t="shared" si="2"/>
        <v>48.330000000000005</v>
      </c>
      <c r="D37" s="32">
        <f t="shared" si="2"/>
        <v>49.230000000000004</v>
      </c>
      <c r="E37" s="32">
        <f t="shared" si="2"/>
        <v>50.13</v>
      </c>
      <c r="F37" s="32">
        <f t="shared" si="2"/>
        <v>51.03</v>
      </c>
      <c r="G37" s="32">
        <f t="shared" si="2"/>
        <v>51.930000000000007</v>
      </c>
      <c r="H37" s="32">
        <f t="shared" si="2"/>
        <v>52.830000000000005</v>
      </c>
      <c r="I37" s="32">
        <f t="shared" si="2"/>
        <v>53.730000000000004</v>
      </c>
      <c r="J37" s="32">
        <f t="shared" si="2"/>
        <v>54.63</v>
      </c>
      <c r="K37" s="32">
        <f t="shared" si="2"/>
        <v>55.53</v>
      </c>
      <c r="L37" s="32">
        <f t="shared" si="2"/>
        <v>56.430000000000007</v>
      </c>
      <c r="M37" s="32">
        <f t="shared" si="2"/>
        <v>57.330000000000005</v>
      </c>
      <c r="N37" s="32">
        <f t="shared" si="2"/>
        <v>58.230000000000004</v>
      </c>
      <c r="O37" s="32">
        <f t="shared" si="2"/>
        <v>59.13</v>
      </c>
      <c r="P37" s="32">
        <f t="shared" si="2"/>
        <v>60.03</v>
      </c>
      <c r="Q37" s="32">
        <f t="shared" si="2"/>
        <v>60.930000000000007</v>
      </c>
      <c r="R37" s="32">
        <f t="shared" si="2"/>
        <v>61.830000000000005</v>
      </c>
      <c r="S37" s="32">
        <f t="shared" si="3"/>
        <v>62.730000000000004</v>
      </c>
      <c r="T37" s="186">
        <f t="shared" si="3"/>
        <v>63.63</v>
      </c>
      <c r="U37" s="32">
        <f t="shared" si="3"/>
        <v>64.53</v>
      </c>
      <c r="V37" s="32">
        <f t="shared" si="3"/>
        <v>65.430000000000007</v>
      </c>
      <c r="W37" s="32">
        <f t="shared" si="3"/>
        <v>66.33</v>
      </c>
      <c r="X37" s="32">
        <f t="shared" si="3"/>
        <v>67.23</v>
      </c>
      <c r="Y37" s="32">
        <f t="shared" si="3"/>
        <v>68.13000000000001</v>
      </c>
      <c r="Z37" s="32">
        <f t="shared" si="3"/>
        <v>69.03</v>
      </c>
      <c r="AA37" s="32">
        <f t="shared" si="3"/>
        <v>69.930000000000007</v>
      </c>
      <c r="AB37" s="32">
        <f t="shared" si="3"/>
        <v>70.83</v>
      </c>
      <c r="AC37" s="32">
        <f t="shared" si="3"/>
        <v>71.73</v>
      </c>
      <c r="AD37" s="32">
        <f t="shared" si="4"/>
        <v>72.63000000000001</v>
      </c>
      <c r="AE37" s="32">
        <f t="shared" si="4"/>
        <v>73.53</v>
      </c>
      <c r="AF37" s="32">
        <f t="shared" si="4"/>
        <v>74.430000000000007</v>
      </c>
      <c r="AG37" s="32">
        <f t="shared" si="4"/>
        <v>75.33</v>
      </c>
      <c r="AH37" s="32">
        <f t="shared" si="4"/>
        <v>76.23</v>
      </c>
      <c r="AI37" s="32">
        <f t="shared" si="4"/>
        <v>77.13000000000001</v>
      </c>
      <c r="AJ37" s="32">
        <f t="shared" si="4"/>
        <v>78.03</v>
      </c>
      <c r="AK37" s="32">
        <f t="shared" si="4"/>
        <v>78.930000000000007</v>
      </c>
      <c r="AL37" s="32">
        <f t="shared" si="4"/>
        <v>79.83</v>
      </c>
      <c r="AM37" s="32">
        <f t="shared" si="4"/>
        <v>80.73</v>
      </c>
      <c r="AN37" s="32">
        <f t="shared" si="4"/>
        <v>81.63000000000001</v>
      </c>
      <c r="AO37" s="32">
        <f t="shared" si="4"/>
        <v>82.53</v>
      </c>
      <c r="AP37" s="32">
        <f t="shared" si="4"/>
        <v>83.43</v>
      </c>
      <c r="AQ37" s="32">
        <f t="shared" si="4"/>
        <v>84.33</v>
      </c>
      <c r="AR37" s="32">
        <f t="shared" si="4"/>
        <v>85.23</v>
      </c>
      <c r="AS37" s="32">
        <f t="shared" si="4"/>
        <v>86.13000000000001</v>
      </c>
      <c r="AT37" s="32">
        <f t="shared" si="5"/>
        <v>87.03</v>
      </c>
      <c r="AU37" s="32">
        <f t="shared" si="5"/>
        <v>87.93</v>
      </c>
      <c r="AV37" s="32">
        <f t="shared" si="5"/>
        <v>88.83</v>
      </c>
      <c r="AW37" s="32">
        <f t="shared" si="5"/>
        <v>89.73</v>
      </c>
      <c r="AX37" s="32">
        <f t="shared" si="5"/>
        <v>90.63000000000001</v>
      </c>
      <c r="AY37" s="32">
        <f t="shared" si="5"/>
        <v>91.53</v>
      </c>
      <c r="AZ37" s="32">
        <f t="shared" si="5"/>
        <v>92.43</v>
      </c>
      <c r="BA37" s="16"/>
    </row>
    <row r="38" spans="1:53" hidden="1" x14ac:dyDescent="0.25">
      <c r="A38" s="16"/>
      <c r="B38" s="31">
        <v>38</v>
      </c>
      <c r="C38" s="32">
        <f t="shared" si="2"/>
        <v>48.42</v>
      </c>
      <c r="D38" s="32">
        <f t="shared" si="2"/>
        <v>49.32</v>
      </c>
      <c r="E38" s="32">
        <f t="shared" si="2"/>
        <v>50.22</v>
      </c>
      <c r="F38" s="32">
        <f t="shared" si="2"/>
        <v>51.12</v>
      </c>
      <c r="G38" s="32">
        <f t="shared" si="2"/>
        <v>52.019999999999996</v>
      </c>
      <c r="H38" s="32">
        <f t="shared" si="2"/>
        <v>52.92</v>
      </c>
      <c r="I38" s="32">
        <f t="shared" si="2"/>
        <v>53.82</v>
      </c>
      <c r="J38" s="32">
        <f t="shared" si="2"/>
        <v>54.72</v>
      </c>
      <c r="K38" s="32">
        <f t="shared" si="2"/>
        <v>55.62</v>
      </c>
      <c r="L38" s="32">
        <f t="shared" si="2"/>
        <v>56.519999999999996</v>
      </c>
      <c r="M38" s="32">
        <f t="shared" si="2"/>
        <v>57.42</v>
      </c>
      <c r="N38" s="32">
        <f t="shared" si="2"/>
        <v>58.32</v>
      </c>
      <c r="O38" s="32">
        <f t="shared" si="2"/>
        <v>59.22</v>
      </c>
      <c r="P38" s="32">
        <f t="shared" si="2"/>
        <v>60.12</v>
      </c>
      <c r="Q38" s="32">
        <f t="shared" si="2"/>
        <v>61.019999999999996</v>
      </c>
      <c r="R38" s="32">
        <f t="shared" si="2"/>
        <v>61.92</v>
      </c>
      <c r="S38" s="32">
        <f t="shared" si="3"/>
        <v>62.82</v>
      </c>
      <c r="T38" s="186">
        <f t="shared" si="3"/>
        <v>63.72</v>
      </c>
      <c r="U38" s="32">
        <f t="shared" si="3"/>
        <v>64.62</v>
      </c>
      <c r="V38" s="32">
        <f t="shared" si="3"/>
        <v>65.52</v>
      </c>
      <c r="W38" s="32">
        <f t="shared" si="3"/>
        <v>66.42</v>
      </c>
      <c r="X38" s="32">
        <f t="shared" si="3"/>
        <v>67.319999999999993</v>
      </c>
      <c r="Y38" s="32">
        <f t="shared" si="3"/>
        <v>68.22</v>
      </c>
      <c r="Z38" s="32">
        <f t="shared" si="3"/>
        <v>69.12</v>
      </c>
      <c r="AA38" s="32">
        <f t="shared" si="3"/>
        <v>70.02</v>
      </c>
      <c r="AB38" s="32">
        <f t="shared" si="3"/>
        <v>70.92</v>
      </c>
      <c r="AC38" s="32">
        <f t="shared" si="3"/>
        <v>71.819999999999993</v>
      </c>
      <c r="AD38" s="32">
        <f t="shared" si="4"/>
        <v>72.72</v>
      </c>
      <c r="AE38" s="32">
        <f t="shared" si="4"/>
        <v>73.62</v>
      </c>
      <c r="AF38" s="32">
        <f t="shared" si="4"/>
        <v>74.52</v>
      </c>
      <c r="AG38" s="32">
        <f t="shared" si="4"/>
        <v>75.42</v>
      </c>
      <c r="AH38" s="32">
        <f t="shared" si="4"/>
        <v>76.319999999999993</v>
      </c>
      <c r="AI38" s="32">
        <f t="shared" si="4"/>
        <v>77.22</v>
      </c>
      <c r="AJ38" s="32">
        <f t="shared" si="4"/>
        <v>78.12</v>
      </c>
      <c r="AK38" s="32">
        <f t="shared" si="4"/>
        <v>79.02</v>
      </c>
      <c r="AL38" s="32">
        <f t="shared" si="4"/>
        <v>79.92</v>
      </c>
      <c r="AM38" s="32">
        <f t="shared" si="4"/>
        <v>80.819999999999993</v>
      </c>
      <c r="AN38" s="32">
        <f t="shared" si="4"/>
        <v>81.72</v>
      </c>
      <c r="AO38" s="32">
        <f t="shared" si="4"/>
        <v>82.62</v>
      </c>
      <c r="AP38" s="32">
        <f t="shared" si="4"/>
        <v>83.52</v>
      </c>
      <c r="AQ38" s="32">
        <f t="shared" si="4"/>
        <v>84.42</v>
      </c>
      <c r="AR38" s="32">
        <f t="shared" si="4"/>
        <v>85.32</v>
      </c>
      <c r="AS38" s="32">
        <f t="shared" si="4"/>
        <v>86.22</v>
      </c>
      <c r="AT38" s="32">
        <f t="shared" si="5"/>
        <v>87.12</v>
      </c>
      <c r="AU38" s="32">
        <f t="shared" si="5"/>
        <v>88.02</v>
      </c>
      <c r="AV38" s="32">
        <f t="shared" si="5"/>
        <v>88.92</v>
      </c>
      <c r="AW38" s="32">
        <f t="shared" si="5"/>
        <v>89.82</v>
      </c>
      <c r="AX38" s="32">
        <f t="shared" si="5"/>
        <v>90.72</v>
      </c>
      <c r="AY38" s="32">
        <f t="shared" si="5"/>
        <v>91.62</v>
      </c>
      <c r="AZ38" s="32">
        <f t="shared" si="5"/>
        <v>92.52</v>
      </c>
      <c r="BA38" s="16"/>
    </row>
    <row r="39" spans="1:53" hidden="1" x14ac:dyDescent="0.25">
      <c r="A39" s="16"/>
      <c r="B39" s="31">
        <v>39</v>
      </c>
      <c r="C39" s="32">
        <f t="shared" si="2"/>
        <v>48.51</v>
      </c>
      <c r="D39" s="32">
        <f t="shared" si="2"/>
        <v>49.41</v>
      </c>
      <c r="E39" s="32">
        <f t="shared" si="2"/>
        <v>50.31</v>
      </c>
      <c r="F39" s="32">
        <f t="shared" si="2"/>
        <v>51.21</v>
      </c>
      <c r="G39" s="32">
        <f t="shared" si="2"/>
        <v>52.11</v>
      </c>
      <c r="H39" s="32">
        <f t="shared" si="2"/>
        <v>53.01</v>
      </c>
      <c r="I39" s="32">
        <f t="shared" si="2"/>
        <v>53.91</v>
      </c>
      <c r="J39" s="32">
        <f t="shared" si="2"/>
        <v>54.81</v>
      </c>
      <c r="K39" s="32">
        <f t="shared" si="2"/>
        <v>55.71</v>
      </c>
      <c r="L39" s="32">
        <f t="shared" si="2"/>
        <v>56.61</v>
      </c>
      <c r="M39" s="32">
        <f t="shared" si="2"/>
        <v>57.51</v>
      </c>
      <c r="N39" s="32">
        <f t="shared" si="2"/>
        <v>58.410000000000004</v>
      </c>
      <c r="O39" s="32">
        <f t="shared" si="2"/>
        <v>59.310000000000009</v>
      </c>
      <c r="P39" s="32">
        <f t="shared" si="2"/>
        <v>60.210000000000008</v>
      </c>
      <c r="Q39" s="32">
        <f t="shared" si="2"/>
        <v>61.110000000000007</v>
      </c>
      <c r="R39" s="32">
        <f t="shared" si="2"/>
        <v>62.010000000000005</v>
      </c>
      <c r="S39" s="32">
        <f t="shared" si="3"/>
        <v>62.910000000000004</v>
      </c>
      <c r="T39" s="186">
        <f t="shared" si="3"/>
        <v>63.810000000000009</v>
      </c>
      <c r="U39" s="32">
        <f t="shared" si="3"/>
        <v>64.710000000000008</v>
      </c>
      <c r="V39" s="32">
        <f t="shared" si="3"/>
        <v>65.610000000000014</v>
      </c>
      <c r="W39" s="32">
        <f t="shared" si="3"/>
        <v>66.510000000000005</v>
      </c>
      <c r="X39" s="32">
        <f t="shared" si="3"/>
        <v>67.410000000000011</v>
      </c>
      <c r="Y39" s="32">
        <f t="shared" si="3"/>
        <v>68.31</v>
      </c>
      <c r="Z39" s="32">
        <f t="shared" si="3"/>
        <v>69.210000000000008</v>
      </c>
      <c r="AA39" s="32">
        <f t="shared" si="3"/>
        <v>70.110000000000014</v>
      </c>
      <c r="AB39" s="32">
        <f t="shared" si="3"/>
        <v>71.010000000000005</v>
      </c>
      <c r="AC39" s="32">
        <f t="shared" si="3"/>
        <v>71.910000000000011</v>
      </c>
      <c r="AD39" s="32">
        <f t="shared" si="4"/>
        <v>72.81</v>
      </c>
      <c r="AE39" s="32">
        <f t="shared" si="4"/>
        <v>73.710000000000008</v>
      </c>
      <c r="AF39" s="32">
        <f t="shared" si="4"/>
        <v>74.610000000000014</v>
      </c>
      <c r="AG39" s="32">
        <f t="shared" si="4"/>
        <v>75.510000000000005</v>
      </c>
      <c r="AH39" s="32">
        <f t="shared" si="4"/>
        <v>76.410000000000011</v>
      </c>
      <c r="AI39" s="32">
        <f t="shared" si="4"/>
        <v>77.31</v>
      </c>
      <c r="AJ39" s="32">
        <f t="shared" si="4"/>
        <v>78.210000000000008</v>
      </c>
      <c r="AK39" s="32">
        <f t="shared" si="4"/>
        <v>79.110000000000014</v>
      </c>
      <c r="AL39" s="32">
        <f t="shared" si="4"/>
        <v>80.010000000000005</v>
      </c>
      <c r="AM39" s="32">
        <f t="shared" si="4"/>
        <v>80.910000000000011</v>
      </c>
      <c r="AN39" s="32">
        <f t="shared" si="4"/>
        <v>81.81</v>
      </c>
      <c r="AO39" s="32">
        <f t="shared" si="4"/>
        <v>82.710000000000008</v>
      </c>
      <c r="AP39" s="32">
        <f t="shared" si="4"/>
        <v>83.610000000000014</v>
      </c>
      <c r="AQ39" s="32">
        <f t="shared" si="4"/>
        <v>84.51</v>
      </c>
      <c r="AR39" s="32">
        <f t="shared" si="4"/>
        <v>85.410000000000011</v>
      </c>
      <c r="AS39" s="32">
        <f t="shared" si="4"/>
        <v>86.31</v>
      </c>
      <c r="AT39" s="32">
        <f t="shared" si="5"/>
        <v>87.210000000000008</v>
      </c>
      <c r="AU39" s="32">
        <f t="shared" si="5"/>
        <v>88.110000000000014</v>
      </c>
      <c r="AV39" s="32">
        <f t="shared" si="5"/>
        <v>89.01</v>
      </c>
      <c r="AW39" s="32">
        <f t="shared" si="5"/>
        <v>89.910000000000011</v>
      </c>
      <c r="AX39" s="32">
        <f t="shared" si="5"/>
        <v>90.81</v>
      </c>
      <c r="AY39" s="32">
        <f t="shared" si="5"/>
        <v>91.710000000000008</v>
      </c>
      <c r="AZ39" s="32">
        <f t="shared" si="5"/>
        <v>92.610000000000014</v>
      </c>
      <c r="BA39" s="16"/>
    </row>
    <row r="40" spans="1:53" hidden="1" x14ac:dyDescent="0.25">
      <c r="A40" s="16"/>
      <c r="B40" s="31">
        <v>40</v>
      </c>
      <c r="C40" s="32">
        <f t="shared" si="2"/>
        <v>48.6</v>
      </c>
      <c r="D40" s="32">
        <f t="shared" si="2"/>
        <v>49.5</v>
      </c>
      <c r="E40" s="32">
        <f t="shared" si="2"/>
        <v>50.4</v>
      </c>
      <c r="F40" s="32">
        <f t="shared" si="2"/>
        <v>51.300000000000004</v>
      </c>
      <c r="G40" s="32">
        <f t="shared" si="2"/>
        <v>52.2</v>
      </c>
      <c r="H40" s="32">
        <f t="shared" si="2"/>
        <v>53.1</v>
      </c>
      <c r="I40" s="32">
        <f t="shared" si="2"/>
        <v>54</v>
      </c>
      <c r="J40" s="32">
        <f t="shared" si="2"/>
        <v>54.9</v>
      </c>
      <c r="K40" s="32">
        <f t="shared" si="2"/>
        <v>55.800000000000004</v>
      </c>
      <c r="L40" s="32">
        <f t="shared" si="2"/>
        <v>56.7</v>
      </c>
      <c r="M40" s="32">
        <f t="shared" si="2"/>
        <v>57.6</v>
      </c>
      <c r="N40" s="32">
        <f t="shared" si="2"/>
        <v>58.5</v>
      </c>
      <c r="O40" s="32">
        <f t="shared" si="2"/>
        <v>59.4</v>
      </c>
      <c r="P40" s="32">
        <f t="shared" si="2"/>
        <v>60.300000000000004</v>
      </c>
      <c r="Q40" s="32">
        <f t="shared" si="2"/>
        <v>61.2</v>
      </c>
      <c r="R40" s="32">
        <f t="shared" si="2"/>
        <v>62.1</v>
      </c>
      <c r="S40" s="32">
        <f t="shared" si="3"/>
        <v>63</v>
      </c>
      <c r="T40" s="186">
        <f t="shared" si="3"/>
        <v>63.9</v>
      </c>
      <c r="U40" s="32">
        <f t="shared" si="3"/>
        <v>64.8</v>
      </c>
      <c r="V40" s="32">
        <f t="shared" si="3"/>
        <v>65.7</v>
      </c>
      <c r="W40" s="32">
        <f t="shared" si="3"/>
        <v>66.600000000000009</v>
      </c>
      <c r="X40" s="32">
        <f t="shared" si="3"/>
        <v>67.5</v>
      </c>
      <c r="Y40" s="32">
        <f t="shared" si="3"/>
        <v>68.400000000000006</v>
      </c>
      <c r="Z40" s="32">
        <f t="shared" si="3"/>
        <v>69.3</v>
      </c>
      <c r="AA40" s="32">
        <f t="shared" si="3"/>
        <v>70.2</v>
      </c>
      <c r="AB40" s="32">
        <f t="shared" si="3"/>
        <v>71.100000000000009</v>
      </c>
      <c r="AC40" s="32">
        <f t="shared" si="3"/>
        <v>72</v>
      </c>
      <c r="AD40" s="32">
        <f t="shared" si="4"/>
        <v>72.900000000000006</v>
      </c>
      <c r="AE40" s="32">
        <f t="shared" si="4"/>
        <v>73.8</v>
      </c>
      <c r="AF40" s="32">
        <f t="shared" si="4"/>
        <v>74.7</v>
      </c>
      <c r="AG40" s="32">
        <f t="shared" si="4"/>
        <v>75.600000000000009</v>
      </c>
      <c r="AH40" s="32">
        <f t="shared" si="4"/>
        <v>76.5</v>
      </c>
      <c r="AI40" s="32">
        <f t="shared" si="4"/>
        <v>77.400000000000006</v>
      </c>
      <c r="AJ40" s="32">
        <f t="shared" si="4"/>
        <v>78.3</v>
      </c>
      <c r="AK40" s="32">
        <f t="shared" si="4"/>
        <v>79.2</v>
      </c>
      <c r="AL40" s="32">
        <f t="shared" si="4"/>
        <v>80.100000000000009</v>
      </c>
      <c r="AM40" s="32">
        <f t="shared" si="4"/>
        <v>81</v>
      </c>
      <c r="AN40" s="32">
        <f t="shared" si="4"/>
        <v>81.900000000000006</v>
      </c>
      <c r="AO40" s="32">
        <f t="shared" si="4"/>
        <v>82.8</v>
      </c>
      <c r="AP40" s="32">
        <f t="shared" si="4"/>
        <v>83.7</v>
      </c>
      <c r="AQ40" s="32">
        <f t="shared" si="4"/>
        <v>84.600000000000009</v>
      </c>
      <c r="AR40" s="32">
        <f t="shared" si="4"/>
        <v>85.5</v>
      </c>
      <c r="AS40" s="32">
        <f t="shared" si="4"/>
        <v>86.4</v>
      </c>
      <c r="AT40" s="32">
        <f t="shared" si="5"/>
        <v>87.3</v>
      </c>
      <c r="AU40" s="32">
        <f t="shared" si="5"/>
        <v>88.2</v>
      </c>
      <c r="AV40" s="32">
        <f t="shared" si="5"/>
        <v>89.100000000000009</v>
      </c>
      <c r="AW40" s="32">
        <f t="shared" si="5"/>
        <v>90</v>
      </c>
      <c r="AX40" s="32">
        <f t="shared" si="5"/>
        <v>90.9</v>
      </c>
      <c r="AY40" s="32">
        <f t="shared" si="5"/>
        <v>91.8</v>
      </c>
      <c r="AZ40" s="32">
        <f t="shared" si="5"/>
        <v>92.7</v>
      </c>
      <c r="BA40" s="16"/>
    </row>
    <row r="41" spans="1:53" hidden="1" x14ac:dyDescent="0.25">
      <c r="A41" s="16"/>
      <c r="B41" s="31">
        <v>41</v>
      </c>
      <c r="C41" s="32">
        <f t="shared" si="2"/>
        <v>48.690000000000005</v>
      </c>
      <c r="D41" s="32">
        <f t="shared" si="2"/>
        <v>49.59</v>
      </c>
      <c r="E41" s="32">
        <f t="shared" si="2"/>
        <v>50.49</v>
      </c>
      <c r="F41" s="32">
        <f t="shared" si="2"/>
        <v>51.39</v>
      </c>
      <c r="G41" s="32">
        <f t="shared" si="2"/>
        <v>52.29</v>
      </c>
      <c r="H41" s="32">
        <f t="shared" si="2"/>
        <v>53.190000000000005</v>
      </c>
      <c r="I41" s="32">
        <f t="shared" si="2"/>
        <v>54.09</v>
      </c>
      <c r="J41" s="32">
        <f t="shared" si="2"/>
        <v>54.99</v>
      </c>
      <c r="K41" s="32">
        <f t="shared" ref="K41:Z56" si="6">(K$16-100+$B41/10)*0.9</f>
        <v>55.89</v>
      </c>
      <c r="L41" s="32">
        <f t="shared" si="6"/>
        <v>56.79</v>
      </c>
      <c r="M41" s="32">
        <f t="shared" si="6"/>
        <v>57.69</v>
      </c>
      <c r="N41" s="32">
        <f t="shared" si="6"/>
        <v>58.589999999999996</v>
      </c>
      <c r="O41" s="32">
        <f t="shared" si="6"/>
        <v>59.489999999999995</v>
      </c>
      <c r="P41" s="32">
        <f t="shared" si="6"/>
        <v>60.389999999999993</v>
      </c>
      <c r="Q41" s="32">
        <f t="shared" si="6"/>
        <v>61.29</v>
      </c>
      <c r="R41" s="32">
        <f t="shared" si="6"/>
        <v>62.19</v>
      </c>
      <c r="S41" s="32">
        <f t="shared" si="6"/>
        <v>63.089999999999996</v>
      </c>
      <c r="T41" s="186">
        <f t="shared" si="6"/>
        <v>63.989999999999995</v>
      </c>
      <c r="U41" s="32">
        <f t="shared" si="6"/>
        <v>64.89</v>
      </c>
      <c r="V41" s="32">
        <f t="shared" si="6"/>
        <v>65.789999999999992</v>
      </c>
      <c r="W41" s="32">
        <f t="shared" si="6"/>
        <v>66.69</v>
      </c>
      <c r="X41" s="32">
        <f t="shared" si="6"/>
        <v>67.59</v>
      </c>
      <c r="Y41" s="32">
        <f t="shared" si="6"/>
        <v>68.489999999999995</v>
      </c>
      <c r="Z41" s="32">
        <f t="shared" si="6"/>
        <v>69.39</v>
      </c>
      <c r="AA41" s="32">
        <f t="shared" si="3"/>
        <v>70.289999999999992</v>
      </c>
      <c r="AB41" s="32">
        <f t="shared" si="3"/>
        <v>71.19</v>
      </c>
      <c r="AC41" s="32">
        <f t="shared" si="3"/>
        <v>72.09</v>
      </c>
      <c r="AD41" s="32">
        <f t="shared" si="4"/>
        <v>72.989999999999995</v>
      </c>
      <c r="AE41" s="32">
        <f t="shared" si="4"/>
        <v>73.89</v>
      </c>
      <c r="AF41" s="32">
        <f t="shared" si="4"/>
        <v>74.789999999999992</v>
      </c>
      <c r="AG41" s="32">
        <f t="shared" si="4"/>
        <v>75.69</v>
      </c>
      <c r="AH41" s="32">
        <f t="shared" si="4"/>
        <v>76.59</v>
      </c>
      <c r="AI41" s="32">
        <f t="shared" si="4"/>
        <v>77.489999999999995</v>
      </c>
      <c r="AJ41" s="32">
        <f t="shared" si="4"/>
        <v>78.39</v>
      </c>
      <c r="AK41" s="32">
        <f t="shared" si="4"/>
        <v>79.289999999999992</v>
      </c>
      <c r="AL41" s="32">
        <f t="shared" si="4"/>
        <v>80.19</v>
      </c>
      <c r="AM41" s="32">
        <f t="shared" si="4"/>
        <v>81.09</v>
      </c>
      <c r="AN41" s="32">
        <f t="shared" si="4"/>
        <v>81.99</v>
      </c>
      <c r="AO41" s="32">
        <f t="shared" si="4"/>
        <v>82.89</v>
      </c>
      <c r="AP41" s="32">
        <f t="shared" si="4"/>
        <v>83.789999999999992</v>
      </c>
      <c r="AQ41" s="32">
        <f t="shared" si="4"/>
        <v>84.69</v>
      </c>
      <c r="AR41" s="32">
        <f t="shared" si="4"/>
        <v>85.59</v>
      </c>
      <c r="AS41" s="32">
        <f t="shared" si="4"/>
        <v>86.49</v>
      </c>
      <c r="AT41" s="32">
        <f t="shared" si="5"/>
        <v>87.39</v>
      </c>
      <c r="AU41" s="32">
        <f t="shared" si="5"/>
        <v>88.289999999999992</v>
      </c>
      <c r="AV41" s="32">
        <f t="shared" si="5"/>
        <v>89.19</v>
      </c>
      <c r="AW41" s="32">
        <f t="shared" si="5"/>
        <v>90.09</v>
      </c>
      <c r="AX41" s="32">
        <f t="shared" si="5"/>
        <v>90.99</v>
      </c>
      <c r="AY41" s="32">
        <f t="shared" si="5"/>
        <v>91.89</v>
      </c>
      <c r="AZ41" s="32">
        <f t="shared" si="5"/>
        <v>92.789999999999992</v>
      </c>
      <c r="BA41" s="16"/>
    </row>
    <row r="42" spans="1:53" hidden="1" x14ac:dyDescent="0.25">
      <c r="A42" s="16"/>
      <c r="B42" s="31">
        <v>42</v>
      </c>
      <c r="C42" s="32">
        <f t="shared" ref="C42:R57" si="7">(C$16-100+$B42/10)*0.9</f>
        <v>48.78</v>
      </c>
      <c r="D42" s="32">
        <f t="shared" si="7"/>
        <v>49.680000000000007</v>
      </c>
      <c r="E42" s="32">
        <f t="shared" si="7"/>
        <v>50.580000000000005</v>
      </c>
      <c r="F42" s="32">
        <f t="shared" si="7"/>
        <v>51.480000000000004</v>
      </c>
      <c r="G42" s="32">
        <f t="shared" si="7"/>
        <v>52.38</v>
      </c>
      <c r="H42" s="32">
        <f t="shared" si="7"/>
        <v>53.28</v>
      </c>
      <c r="I42" s="32">
        <f t="shared" si="7"/>
        <v>54.180000000000007</v>
      </c>
      <c r="J42" s="32">
        <f t="shared" si="7"/>
        <v>55.080000000000005</v>
      </c>
      <c r="K42" s="32">
        <f t="shared" si="7"/>
        <v>55.980000000000004</v>
      </c>
      <c r="L42" s="32">
        <f t="shared" si="7"/>
        <v>56.88</v>
      </c>
      <c r="M42" s="32">
        <f t="shared" si="7"/>
        <v>57.78</v>
      </c>
      <c r="N42" s="32">
        <f t="shared" si="7"/>
        <v>58.680000000000007</v>
      </c>
      <c r="O42" s="32">
        <f t="shared" si="7"/>
        <v>59.580000000000005</v>
      </c>
      <c r="P42" s="32">
        <f t="shared" si="7"/>
        <v>60.480000000000004</v>
      </c>
      <c r="Q42" s="32">
        <f t="shared" si="7"/>
        <v>61.38</v>
      </c>
      <c r="R42" s="32">
        <f t="shared" si="7"/>
        <v>62.28</v>
      </c>
      <c r="S42" s="32">
        <f t="shared" si="6"/>
        <v>63.180000000000007</v>
      </c>
      <c r="T42" s="186">
        <f t="shared" si="6"/>
        <v>64.08</v>
      </c>
      <c r="U42" s="32">
        <f t="shared" si="6"/>
        <v>64.98</v>
      </c>
      <c r="V42" s="32">
        <f t="shared" si="6"/>
        <v>65.88000000000001</v>
      </c>
      <c r="W42" s="32">
        <f t="shared" si="6"/>
        <v>66.78</v>
      </c>
      <c r="X42" s="32">
        <f t="shared" si="6"/>
        <v>67.680000000000007</v>
      </c>
      <c r="Y42" s="32">
        <f t="shared" si="6"/>
        <v>68.58</v>
      </c>
      <c r="Z42" s="32">
        <f t="shared" si="6"/>
        <v>69.48</v>
      </c>
      <c r="AA42" s="32">
        <f t="shared" si="3"/>
        <v>70.38000000000001</v>
      </c>
      <c r="AB42" s="32">
        <f t="shared" si="3"/>
        <v>71.28</v>
      </c>
      <c r="AC42" s="32">
        <f t="shared" si="3"/>
        <v>72.180000000000007</v>
      </c>
      <c r="AD42" s="32">
        <f t="shared" si="4"/>
        <v>73.08</v>
      </c>
      <c r="AE42" s="32">
        <f t="shared" si="4"/>
        <v>73.98</v>
      </c>
      <c r="AF42" s="32">
        <f t="shared" si="4"/>
        <v>74.88000000000001</v>
      </c>
      <c r="AG42" s="32">
        <f t="shared" si="4"/>
        <v>75.78</v>
      </c>
      <c r="AH42" s="32">
        <f t="shared" si="4"/>
        <v>76.680000000000007</v>
      </c>
      <c r="AI42" s="32">
        <f t="shared" si="4"/>
        <v>77.58</v>
      </c>
      <c r="AJ42" s="32">
        <f t="shared" si="4"/>
        <v>78.48</v>
      </c>
      <c r="AK42" s="32">
        <f t="shared" si="4"/>
        <v>79.38000000000001</v>
      </c>
      <c r="AL42" s="32">
        <f t="shared" si="4"/>
        <v>80.28</v>
      </c>
      <c r="AM42" s="32">
        <f t="shared" si="4"/>
        <v>81.180000000000007</v>
      </c>
      <c r="AN42" s="32">
        <f t="shared" si="4"/>
        <v>82.08</v>
      </c>
      <c r="AO42" s="32">
        <f t="shared" si="4"/>
        <v>82.98</v>
      </c>
      <c r="AP42" s="32">
        <f t="shared" si="4"/>
        <v>83.88000000000001</v>
      </c>
      <c r="AQ42" s="32">
        <f t="shared" si="4"/>
        <v>84.78</v>
      </c>
      <c r="AR42" s="32">
        <f t="shared" si="4"/>
        <v>85.68</v>
      </c>
      <c r="AS42" s="32">
        <f t="shared" si="4"/>
        <v>86.58</v>
      </c>
      <c r="AT42" s="32">
        <f t="shared" si="5"/>
        <v>87.48</v>
      </c>
      <c r="AU42" s="32">
        <f t="shared" si="5"/>
        <v>88.38000000000001</v>
      </c>
      <c r="AV42" s="32">
        <f t="shared" si="5"/>
        <v>89.28</v>
      </c>
      <c r="AW42" s="32">
        <f t="shared" si="5"/>
        <v>90.18</v>
      </c>
      <c r="AX42" s="32">
        <f t="shared" si="5"/>
        <v>91.08</v>
      </c>
      <c r="AY42" s="32">
        <f t="shared" si="5"/>
        <v>91.98</v>
      </c>
      <c r="AZ42" s="32">
        <f t="shared" si="5"/>
        <v>92.88000000000001</v>
      </c>
      <c r="BA42" s="16"/>
    </row>
    <row r="43" spans="1:53" hidden="1" x14ac:dyDescent="0.25">
      <c r="A43" s="16"/>
      <c r="B43" s="31">
        <v>43</v>
      </c>
      <c r="C43" s="32">
        <f t="shared" si="7"/>
        <v>48.87</v>
      </c>
      <c r="D43" s="32">
        <f t="shared" si="7"/>
        <v>49.769999999999996</v>
      </c>
      <c r="E43" s="32">
        <f t="shared" si="7"/>
        <v>50.67</v>
      </c>
      <c r="F43" s="32">
        <f t="shared" si="7"/>
        <v>51.57</v>
      </c>
      <c r="G43" s="32">
        <f t="shared" si="7"/>
        <v>52.47</v>
      </c>
      <c r="H43" s="32">
        <f t="shared" si="7"/>
        <v>53.37</v>
      </c>
      <c r="I43" s="32">
        <f t="shared" si="7"/>
        <v>54.269999999999996</v>
      </c>
      <c r="J43" s="32">
        <f t="shared" si="7"/>
        <v>55.17</v>
      </c>
      <c r="K43" s="32">
        <f t="shared" si="7"/>
        <v>56.07</v>
      </c>
      <c r="L43" s="32">
        <f t="shared" si="7"/>
        <v>56.97</v>
      </c>
      <c r="M43" s="32">
        <f t="shared" si="7"/>
        <v>57.87</v>
      </c>
      <c r="N43" s="32">
        <f t="shared" si="7"/>
        <v>58.769999999999996</v>
      </c>
      <c r="O43" s="32">
        <f t="shared" si="7"/>
        <v>59.67</v>
      </c>
      <c r="P43" s="32">
        <f t="shared" si="7"/>
        <v>60.57</v>
      </c>
      <c r="Q43" s="32">
        <f t="shared" si="7"/>
        <v>61.47</v>
      </c>
      <c r="R43" s="32">
        <f t="shared" si="7"/>
        <v>62.37</v>
      </c>
      <c r="S43" s="32">
        <f t="shared" si="6"/>
        <v>63.269999999999996</v>
      </c>
      <c r="T43" s="186">
        <f t="shared" si="6"/>
        <v>64.17</v>
      </c>
      <c r="U43" s="32">
        <f t="shared" si="6"/>
        <v>65.069999999999993</v>
      </c>
      <c r="V43" s="32">
        <f t="shared" si="6"/>
        <v>65.97</v>
      </c>
      <c r="W43" s="32">
        <f t="shared" si="6"/>
        <v>66.87</v>
      </c>
      <c r="X43" s="32">
        <f t="shared" si="6"/>
        <v>67.77</v>
      </c>
      <c r="Y43" s="32">
        <f t="shared" si="6"/>
        <v>68.67</v>
      </c>
      <c r="Z43" s="32">
        <f t="shared" si="6"/>
        <v>69.569999999999993</v>
      </c>
      <c r="AA43" s="32">
        <f t="shared" si="3"/>
        <v>70.47</v>
      </c>
      <c r="AB43" s="32">
        <f t="shared" si="3"/>
        <v>71.37</v>
      </c>
      <c r="AC43" s="32">
        <f t="shared" si="3"/>
        <v>72.27</v>
      </c>
      <c r="AD43" s="32">
        <f t="shared" si="4"/>
        <v>73.17</v>
      </c>
      <c r="AE43" s="32">
        <f t="shared" si="4"/>
        <v>74.069999999999993</v>
      </c>
      <c r="AF43" s="32">
        <f t="shared" si="4"/>
        <v>74.97</v>
      </c>
      <c r="AG43" s="32">
        <f t="shared" si="4"/>
        <v>75.87</v>
      </c>
      <c r="AH43" s="32">
        <f t="shared" si="4"/>
        <v>76.77</v>
      </c>
      <c r="AI43" s="32">
        <f t="shared" si="4"/>
        <v>77.67</v>
      </c>
      <c r="AJ43" s="32">
        <f t="shared" si="4"/>
        <v>78.569999999999993</v>
      </c>
      <c r="AK43" s="32">
        <f t="shared" si="4"/>
        <v>79.47</v>
      </c>
      <c r="AL43" s="32">
        <f t="shared" si="4"/>
        <v>80.37</v>
      </c>
      <c r="AM43" s="32">
        <f t="shared" si="4"/>
        <v>81.27</v>
      </c>
      <c r="AN43" s="32">
        <f t="shared" si="4"/>
        <v>82.17</v>
      </c>
      <c r="AO43" s="32">
        <f t="shared" si="4"/>
        <v>83.07</v>
      </c>
      <c r="AP43" s="32">
        <f t="shared" si="4"/>
        <v>83.97</v>
      </c>
      <c r="AQ43" s="32">
        <f t="shared" si="4"/>
        <v>84.87</v>
      </c>
      <c r="AR43" s="32">
        <f t="shared" si="4"/>
        <v>85.77</v>
      </c>
      <c r="AS43" s="32">
        <f t="shared" si="4"/>
        <v>86.67</v>
      </c>
      <c r="AT43" s="32">
        <f t="shared" si="5"/>
        <v>87.57</v>
      </c>
      <c r="AU43" s="32">
        <f t="shared" si="5"/>
        <v>88.47</v>
      </c>
      <c r="AV43" s="32">
        <f t="shared" si="5"/>
        <v>89.37</v>
      </c>
      <c r="AW43" s="32">
        <f t="shared" si="5"/>
        <v>90.27</v>
      </c>
      <c r="AX43" s="32">
        <f t="shared" si="5"/>
        <v>91.17</v>
      </c>
      <c r="AY43" s="32">
        <f t="shared" si="5"/>
        <v>92.07</v>
      </c>
      <c r="AZ43" s="32">
        <f t="shared" si="5"/>
        <v>92.97</v>
      </c>
      <c r="BA43" s="16"/>
    </row>
    <row r="44" spans="1:53" hidden="1" x14ac:dyDescent="0.25">
      <c r="A44" s="16"/>
      <c r="B44" s="31">
        <v>44</v>
      </c>
      <c r="C44" s="32">
        <f t="shared" si="7"/>
        <v>48.96</v>
      </c>
      <c r="D44" s="32">
        <f t="shared" si="7"/>
        <v>49.86</v>
      </c>
      <c r="E44" s="32">
        <f t="shared" si="7"/>
        <v>50.76</v>
      </c>
      <c r="F44" s="32">
        <f t="shared" si="7"/>
        <v>51.66</v>
      </c>
      <c r="G44" s="32">
        <f t="shared" si="7"/>
        <v>52.56</v>
      </c>
      <c r="H44" s="32">
        <f t="shared" si="7"/>
        <v>53.46</v>
      </c>
      <c r="I44" s="32">
        <f t="shared" si="7"/>
        <v>54.36</v>
      </c>
      <c r="J44" s="32">
        <f t="shared" si="7"/>
        <v>55.26</v>
      </c>
      <c r="K44" s="32">
        <f t="shared" si="7"/>
        <v>56.16</v>
      </c>
      <c r="L44" s="32">
        <f t="shared" si="7"/>
        <v>57.06</v>
      </c>
      <c r="M44" s="32">
        <f t="shared" si="7"/>
        <v>57.960000000000008</v>
      </c>
      <c r="N44" s="32">
        <f t="shared" si="7"/>
        <v>58.860000000000007</v>
      </c>
      <c r="O44" s="32">
        <f t="shared" si="7"/>
        <v>59.760000000000005</v>
      </c>
      <c r="P44" s="32">
        <f t="shared" si="7"/>
        <v>60.660000000000004</v>
      </c>
      <c r="Q44" s="32">
        <f t="shared" si="7"/>
        <v>61.560000000000009</v>
      </c>
      <c r="R44" s="32">
        <f t="shared" si="7"/>
        <v>62.460000000000008</v>
      </c>
      <c r="S44" s="32">
        <f t="shared" si="6"/>
        <v>63.360000000000007</v>
      </c>
      <c r="T44" s="186">
        <f t="shared" si="6"/>
        <v>64.260000000000005</v>
      </c>
      <c r="U44" s="32">
        <f t="shared" si="6"/>
        <v>65.160000000000011</v>
      </c>
      <c r="V44" s="32">
        <f t="shared" si="6"/>
        <v>66.06</v>
      </c>
      <c r="W44" s="32">
        <f t="shared" si="6"/>
        <v>66.960000000000008</v>
      </c>
      <c r="X44" s="32">
        <f t="shared" si="6"/>
        <v>67.860000000000014</v>
      </c>
      <c r="Y44" s="32">
        <f t="shared" si="6"/>
        <v>68.760000000000005</v>
      </c>
      <c r="Z44" s="32">
        <f t="shared" si="6"/>
        <v>69.660000000000011</v>
      </c>
      <c r="AA44" s="32">
        <f t="shared" si="3"/>
        <v>70.56</v>
      </c>
      <c r="AB44" s="32">
        <f t="shared" si="3"/>
        <v>71.460000000000008</v>
      </c>
      <c r="AC44" s="32">
        <f t="shared" si="3"/>
        <v>72.360000000000014</v>
      </c>
      <c r="AD44" s="32">
        <f t="shared" si="4"/>
        <v>73.260000000000005</v>
      </c>
      <c r="AE44" s="32">
        <f t="shared" si="4"/>
        <v>74.160000000000011</v>
      </c>
      <c r="AF44" s="32">
        <f t="shared" si="4"/>
        <v>75.06</v>
      </c>
      <c r="AG44" s="32">
        <f t="shared" si="4"/>
        <v>75.960000000000008</v>
      </c>
      <c r="AH44" s="32">
        <f t="shared" si="4"/>
        <v>76.860000000000014</v>
      </c>
      <c r="AI44" s="32">
        <f t="shared" si="4"/>
        <v>77.760000000000005</v>
      </c>
      <c r="AJ44" s="32">
        <f t="shared" si="4"/>
        <v>78.660000000000011</v>
      </c>
      <c r="AK44" s="32">
        <f t="shared" si="4"/>
        <v>79.56</v>
      </c>
      <c r="AL44" s="32">
        <f t="shared" si="4"/>
        <v>80.460000000000008</v>
      </c>
      <c r="AM44" s="32">
        <f t="shared" si="4"/>
        <v>81.360000000000014</v>
      </c>
      <c r="AN44" s="32">
        <f t="shared" si="4"/>
        <v>82.26</v>
      </c>
      <c r="AO44" s="32">
        <f t="shared" si="4"/>
        <v>83.160000000000011</v>
      </c>
      <c r="AP44" s="32">
        <f t="shared" si="4"/>
        <v>84.06</v>
      </c>
      <c r="AQ44" s="32">
        <f t="shared" si="4"/>
        <v>84.960000000000008</v>
      </c>
      <c r="AR44" s="32">
        <f t="shared" ref="AR44:AZ59" si="8">(AR$16-100+$B44/10)*0.9</f>
        <v>85.860000000000014</v>
      </c>
      <c r="AS44" s="32">
        <f t="shared" si="8"/>
        <v>86.76</v>
      </c>
      <c r="AT44" s="32">
        <f t="shared" si="8"/>
        <v>87.660000000000011</v>
      </c>
      <c r="AU44" s="32">
        <f t="shared" si="8"/>
        <v>88.56</v>
      </c>
      <c r="AV44" s="32">
        <f t="shared" si="8"/>
        <v>89.460000000000008</v>
      </c>
      <c r="AW44" s="32">
        <f t="shared" si="8"/>
        <v>90.360000000000014</v>
      </c>
      <c r="AX44" s="32">
        <f t="shared" si="8"/>
        <v>91.26</v>
      </c>
      <c r="AY44" s="32">
        <f t="shared" si="8"/>
        <v>92.160000000000011</v>
      </c>
      <c r="AZ44" s="32">
        <f t="shared" si="8"/>
        <v>93.06</v>
      </c>
      <c r="BA44" s="16"/>
    </row>
    <row r="45" spans="1:53" hidden="1" x14ac:dyDescent="0.25">
      <c r="A45" s="16"/>
      <c r="B45" s="31">
        <v>45</v>
      </c>
      <c r="C45" s="32">
        <f t="shared" si="7"/>
        <v>49.050000000000004</v>
      </c>
      <c r="D45" s="32">
        <f t="shared" si="7"/>
        <v>49.95</v>
      </c>
      <c r="E45" s="32">
        <f t="shared" si="7"/>
        <v>50.85</v>
      </c>
      <c r="F45" s="32">
        <f t="shared" si="7"/>
        <v>51.75</v>
      </c>
      <c r="G45" s="32">
        <f t="shared" si="7"/>
        <v>52.65</v>
      </c>
      <c r="H45" s="32">
        <f t="shared" si="7"/>
        <v>53.550000000000004</v>
      </c>
      <c r="I45" s="32">
        <f t="shared" si="7"/>
        <v>54.45</v>
      </c>
      <c r="J45" s="32">
        <f t="shared" si="7"/>
        <v>55.35</v>
      </c>
      <c r="K45" s="32">
        <f t="shared" si="7"/>
        <v>56.25</v>
      </c>
      <c r="L45" s="32">
        <f t="shared" si="7"/>
        <v>57.15</v>
      </c>
      <c r="M45" s="32">
        <f t="shared" si="7"/>
        <v>58.050000000000004</v>
      </c>
      <c r="N45" s="32">
        <f t="shared" si="7"/>
        <v>58.95</v>
      </c>
      <c r="O45" s="32">
        <f t="shared" si="7"/>
        <v>59.85</v>
      </c>
      <c r="P45" s="32">
        <f t="shared" si="7"/>
        <v>60.75</v>
      </c>
      <c r="Q45" s="32">
        <f t="shared" si="7"/>
        <v>61.65</v>
      </c>
      <c r="R45" s="32">
        <f t="shared" si="7"/>
        <v>62.550000000000004</v>
      </c>
      <c r="S45" s="32">
        <f t="shared" si="6"/>
        <v>63.45</v>
      </c>
      <c r="T45" s="186">
        <f t="shared" si="6"/>
        <v>64.350000000000009</v>
      </c>
      <c r="U45" s="32">
        <f t="shared" si="6"/>
        <v>65.25</v>
      </c>
      <c r="V45" s="32">
        <f t="shared" si="6"/>
        <v>66.150000000000006</v>
      </c>
      <c r="W45" s="32">
        <f t="shared" si="6"/>
        <v>67.05</v>
      </c>
      <c r="X45" s="32">
        <f t="shared" si="6"/>
        <v>67.95</v>
      </c>
      <c r="Y45" s="32">
        <f t="shared" si="6"/>
        <v>68.850000000000009</v>
      </c>
      <c r="Z45" s="32">
        <f t="shared" si="6"/>
        <v>69.75</v>
      </c>
      <c r="AA45" s="32">
        <f t="shared" si="3"/>
        <v>70.650000000000006</v>
      </c>
      <c r="AB45" s="32">
        <f t="shared" si="3"/>
        <v>71.55</v>
      </c>
      <c r="AC45" s="32">
        <f t="shared" si="3"/>
        <v>72.45</v>
      </c>
      <c r="AD45" s="32">
        <f t="shared" ref="AD45:AS62" si="9">(AD$16-100+$B45/10)*0.9</f>
        <v>73.350000000000009</v>
      </c>
      <c r="AE45" s="32">
        <f t="shared" si="9"/>
        <v>74.25</v>
      </c>
      <c r="AF45" s="32">
        <f t="shared" si="9"/>
        <v>75.150000000000006</v>
      </c>
      <c r="AG45" s="32">
        <f t="shared" si="9"/>
        <v>76.05</v>
      </c>
      <c r="AH45" s="32">
        <f t="shared" si="9"/>
        <v>76.95</v>
      </c>
      <c r="AI45" s="32">
        <f t="shared" si="9"/>
        <v>77.850000000000009</v>
      </c>
      <c r="AJ45" s="32">
        <f t="shared" si="9"/>
        <v>78.75</v>
      </c>
      <c r="AK45" s="32">
        <f t="shared" si="9"/>
        <v>79.650000000000006</v>
      </c>
      <c r="AL45" s="32">
        <f t="shared" si="9"/>
        <v>80.55</v>
      </c>
      <c r="AM45" s="32">
        <f t="shared" si="9"/>
        <v>81.45</v>
      </c>
      <c r="AN45" s="32">
        <f t="shared" si="9"/>
        <v>82.350000000000009</v>
      </c>
      <c r="AO45" s="32">
        <f t="shared" si="9"/>
        <v>83.25</v>
      </c>
      <c r="AP45" s="32">
        <f t="shared" si="9"/>
        <v>84.15</v>
      </c>
      <c r="AQ45" s="32">
        <f t="shared" si="9"/>
        <v>85.05</v>
      </c>
      <c r="AR45" s="32">
        <f t="shared" si="9"/>
        <v>85.95</v>
      </c>
      <c r="AS45" s="32">
        <f t="shared" si="9"/>
        <v>86.850000000000009</v>
      </c>
      <c r="AT45" s="32">
        <f t="shared" si="8"/>
        <v>87.75</v>
      </c>
      <c r="AU45" s="32">
        <f t="shared" si="8"/>
        <v>88.65</v>
      </c>
      <c r="AV45" s="32">
        <f t="shared" si="8"/>
        <v>89.55</v>
      </c>
      <c r="AW45" s="32">
        <f t="shared" si="8"/>
        <v>90.45</v>
      </c>
      <c r="AX45" s="32">
        <f t="shared" si="8"/>
        <v>91.350000000000009</v>
      </c>
      <c r="AY45" s="32">
        <f t="shared" si="8"/>
        <v>92.25</v>
      </c>
      <c r="AZ45" s="32">
        <f t="shared" si="8"/>
        <v>93.15</v>
      </c>
      <c r="BA45" s="16"/>
    </row>
    <row r="46" spans="1:53" hidden="1" x14ac:dyDescent="0.25">
      <c r="A46" s="16"/>
      <c r="B46" s="31">
        <v>46</v>
      </c>
      <c r="C46" s="32">
        <f t="shared" si="7"/>
        <v>49.14</v>
      </c>
      <c r="D46" s="32">
        <f t="shared" si="7"/>
        <v>50.04</v>
      </c>
      <c r="E46" s="32">
        <f t="shared" si="7"/>
        <v>50.940000000000005</v>
      </c>
      <c r="F46" s="32">
        <f t="shared" si="7"/>
        <v>51.84</v>
      </c>
      <c r="G46" s="32">
        <f t="shared" si="7"/>
        <v>52.74</v>
      </c>
      <c r="H46" s="32">
        <f t="shared" si="7"/>
        <v>53.64</v>
      </c>
      <c r="I46" s="32">
        <f t="shared" si="7"/>
        <v>54.54</v>
      </c>
      <c r="J46" s="32">
        <f t="shared" si="7"/>
        <v>55.440000000000005</v>
      </c>
      <c r="K46" s="32">
        <f t="shared" si="7"/>
        <v>56.34</v>
      </c>
      <c r="L46" s="32">
        <f t="shared" si="7"/>
        <v>57.24</v>
      </c>
      <c r="M46" s="32">
        <f t="shared" si="7"/>
        <v>58.139999999999993</v>
      </c>
      <c r="N46" s="32">
        <f t="shared" si="7"/>
        <v>59.04</v>
      </c>
      <c r="O46" s="32">
        <f t="shared" si="7"/>
        <v>59.94</v>
      </c>
      <c r="P46" s="32">
        <f t="shared" si="7"/>
        <v>60.839999999999996</v>
      </c>
      <c r="Q46" s="32">
        <f t="shared" si="7"/>
        <v>61.739999999999995</v>
      </c>
      <c r="R46" s="32">
        <f t="shared" si="7"/>
        <v>62.639999999999993</v>
      </c>
      <c r="S46" s="32">
        <f t="shared" si="6"/>
        <v>63.54</v>
      </c>
      <c r="T46" s="186">
        <f t="shared" si="6"/>
        <v>64.44</v>
      </c>
      <c r="U46" s="32">
        <f t="shared" si="6"/>
        <v>65.34</v>
      </c>
      <c r="V46" s="32">
        <f t="shared" si="6"/>
        <v>66.239999999999995</v>
      </c>
      <c r="W46" s="32">
        <f t="shared" si="6"/>
        <v>67.14</v>
      </c>
      <c r="X46" s="32">
        <f t="shared" si="6"/>
        <v>68.039999999999992</v>
      </c>
      <c r="Y46" s="32">
        <f t="shared" si="6"/>
        <v>68.94</v>
      </c>
      <c r="Z46" s="32">
        <f t="shared" si="6"/>
        <v>69.84</v>
      </c>
      <c r="AA46" s="32">
        <f t="shared" si="3"/>
        <v>70.739999999999995</v>
      </c>
      <c r="AB46" s="32">
        <f t="shared" si="3"/>
        <v>71.64</v>
      </c>
      <c r="AC46" s="32">
        <f t="shared" si="3"/>
        <v>72.539999999999992</v>
      </c>
      <c r="AD46" s="32">
        <f t="shared" si="9"/>
        <v>73.44</v>
      </c>
      <c r="AE46" s="32">
        <f t="shared" si="9"/>
        <v>74.34</v>
      </c>
      <c r="AF46" s="32">
        <f t="shared" si="9"/>
        <v>75.239999999999995</v>
      </c>
      <c r="AG46" s="32">
        <f t="shared" si="9"/>
        <v>76.14</v>
      </c>
      <c r="AH46" s="32">
        <f t="shared" si="9"/>
        <v>77.039999999999992</v>
      </c>
      <c r="AI46" s="32">
        <f t="shared" si="9"/>
        <v>77.94</v>
      </c>
      <c r="AJ46" s="32">
        <f t="shared" si="9"/>
        <v>78.84</v>
      </c>
      <c r="AK46" s="32">
        <f t="shared" si="9"/>
        <v>79.739999999999995</v>
      </c>
      <c r="AL46" s="32">
        <f t="shared" si="9"/>
        <v>80.64</v>
      </c>
      <c r="AM46" s="32">
        <f t="shared" si="9"/>
        <v>81.539999999999992</v>
      </c>
      <c r="AN46" s="32">
        <f t="shared" si="9"/>
        <v>82.44</v>
      </c>
      <c r="AO46" s="32">
        <f t="shared" si="9"/>
        <v>83.34</v>
      </c>
      <c r="AP46" s="32">
        <f t="shared" si="9"/>
        <v>84.24</v>
      </c>
      <c r="AQ46" s="32">
        <f t="shared" si="9"/>
        <v>85.14</v>
      </c>
      <c r="AR46" s="32">
        <f t="shared" si="9"/>
        <v>86.039999999999992</v>
      </c>
      <c r="AS46" s="32">
        <f t="shared" si="9"/>
        <v>86.94</v>
      </c>
      <c r="AT46" s="32">
        <f t="shared" si="8"/>
        <v>87.84</v>
      </c>
      <c r="AU46" s="32">
        <f t="shared" si="8"/>
        <v>88.74</v>
      </c>
      <c r="AV46" s="32">
        <f t="shared" si="8"/>
        <v>89.64</v>
      </c>
      <c r="AW46" s="32">
        <f t="shared" si="8"/>
        <v>90.539999999999992</v>
      </c>
      <c r="AX46" s="32">
        <f t="shared" si="8"/>
        <v>91.44</v>
      </c>
      <c r="AY46" s="32">
        <f t="shared" si="8"/>
        <v>92.34</v>
      </c>
      <c r="AZ46" s="32">
        <f t="shared" si="8"/>
        <v>93.24</v>
      </c>
      <c r="BA46" s="16"/>
    </row>
    <row r="47" spans="1:53" hidden="1" x14ac:dyDescent="0.25">
      <c r="A47" s="16"/>
      <c r="B47" s="31">
        <v>47</v>
      </c>
      <c r="C47" s="32">
        <f t="shared" si="7"/>
        <v>49.230000000000004</v>
      </c>
      <c r="D47" s="32">
        <f t="shared" si="7"/>
        <v>50.13</v>
      </c>
      <c r="E47" s="32">
        <f t="shared" si="7"/>
        <v>51.03</v>
      </c>
      <c r="F47" s="32">
        <f t="shared" si="7"/>
        <v>51.930000000000007</v>
      </c>
      <c r="G47" s="32">
        <f t="shared" si="7"/>
        <v>52.830000000000005</v>
      </c>
      <c r="H47" s="32">
        <f t="shared" si="7"/>
        <v>53.730000000000004</v>
      </c>
      <c r="I47" s="32">
        <f t="shared" si="7"/>
        <v>54.63</v>
      </c>
      <c r="J47" s="32">
        <f t="shared" si="7"/>
        <v>55.53</v>
      </c>
      <c r="K47" s="32">
        <f t="shared" si="7"/>
        <v>56.430000000000007</v>
      </c>
      <c r="L47" s="32">
        <f t="shared" si="7"/>
        <v>57.330000000000005</v>
      </c>
      <c r="M47" s="32">
        <f t="shared" si="7"/>
        <v>58.230000000000004</v>
      </c>
      <c r="N47" s="32">
        <f t="shared" si="7"/>
        <v>59.13</v>
      </c>
      <c r="O47" s="32">
        <f t="shared" si="7"/>
        <v>60.03</v>
      </c>
      <c r="P47" s="32">
        <f t="shared" si="7"/>
        <v>60.930000000000007</v>
      </c>
      <c r="Q47" s="32">
        <f t="shared" si="7"/>
        <v>61.830000000000005</v>
      </c>
      <c r="R47" s="32">
        <f t="shared" si="7"/>
        <v>62.730000000000004</v>
      </c>
      <c r="S47" s="32">
        <f t="shared" si="6"/>
        <v>63.63</v>
      </c>
      <c r="T47" s="186">
        <f t="shared" si="6"/>
        <v>64.53</v>
      </c>
      <c r="U47" s="32">
        <f t="shared" si="6"/>
        <v>65.430000000000007</v>
      </c>
      <c r="V47" s="32">
        <f t="shared" si="6"/>
        <v>66.33</v>
      </c>
      <c r="W47" s="32">
        <f t="shared" si="6"/>
        <v>67.23</v>
      </c>
      <c r="X47" s="32">
        <f t="shared" si="6"/>
        <v>68.13000000000001</v>
      </c>
      <c r="Y47" s="32">
        <f t="shared" si="6"/>
        <v>69.03</v>
      </c>
      <c r="Z47" s="32">
        <f t="shared" si="6"/>
        <v>69.930000000000007</v>
      </c>
      <c r="AA47" s="32">
        <f t="shared" si="3"/>
        <v>70.83</v>
      </c>
      <c r="AB47" s="32">
        <f t="shared" si="3"/>
        <v>71.73</v>
      </c>
      <c r="AC47" s="32">
        <f t="shared" si="3"/>
        <v>72.63000000000001</v>
      </c>
      <c r="AD47" s="32">
        <f t="shared" si="9"/>
        <v>73.53</v>
      </c>
      <c r="AE47" s="32">
        <f t="shared" si="9"/>
        <v>74.430000000000007</v>
      </c>
      <c r="AF47" s="32">
        <f t="shared" si="9"/>
        <v>75.33</v>
      </c>
      <c r="AG47" s="32">
        <f t="shared" si="9"/>
        <v>76.23</v>
      </c>
      <c r="AH47" s="32">
        <f t="shared" si="9"/>
        <v>77.13000000000001</v>
      </c>
      <c r="AI47" s="32">
        <f t="shared" si="9"/>
        <v>78.03</v>
      </c>
      <c r="AJ47" s="32">
        <f t="shared" si="9"/>
        <v>78.930000000000007</v>
      </c>
      <c r="AK47" s="32">
        <f t="shared" si="9"/>
        <v>79.83</v>
      </c>
      <c r="AL47" s="32">
        <f t="shared" si="9"/>
        <v>80.73</v>
      </c>
      <c r="AM47" s="32">
        <f t="shared" si="9"/>
        <v>81.63000000000001</v>
      </c>
      <c r="AN47" s="32">
        <f t="shared" si="9"/>
        <v>82.53</v>
      </c>
      <c r="AO47" s="32">
        <f t="shared" si="9"/>
        <v>83.43</v>
      </c>
      <c r="AP47" s="32">
        <f t="shared" si="9"/>
        <v>84.33</v>
      </c>
      <c r="AQ47" s="32">
        <f t="shared" si="9"/>
        <v>85.23</v>
      </c>
      <c r="AR47" s="32">
        <f t="shared" si="9"/>
        <v>86.13000000000001</v>
      </c>
      <c r="AS47" s="32">
        <f t="shared" si="9"/>
        <v>87.03</v>
      </c>
      <c r="AT47" s="32">
        <f t="shared" si="8"/>
        <v>87.93</v>
      </c>
      <c r="AU47" s="32">
        <f t="shared" si="8"/>
        <v>88.83</v>
      </c>
      <c r="AV47" s="32">
        <f t="shared" si="8"/>
        <v>89.73</v>
      </c>
      <c r="AW47" s="32">
        <f t="shared" si="8"/>
        <v>90.63000000000001</v>
      </c>
      <c r="AX47" s="32">
        <f t="shared" si="8"/>
        <v>91.53</v>
      </c>
      <c r="AY47" s="32">
        <f t="shared" si="8"/>
        <v>92.43</v>
      </c>
      <c r="AZ47" s="32">
        <f t="shared" si="8"/>
        <v>93.33</v>
      </c>
      <c r="BA47" s="16"/>
    </row>
    <row r="48" spans="1:53" hidden="1" x14ac:dyDescent="0.25">
      <c r="A48" s="16"/>
      <c r="B48" s="31">
        <v>48</v>
      </c>
      <c r="C48" s="32">
        <f t="shared" si="7"/>
        <v>49.32</v>
      </c>
      <c r="D48" s="32">
        <f t="shared" si="7"/>
        <v>50.22</v>
      </c>
      <c r="E48" s="32">
        <f t="shared" si="7"/>
        <v>51.12</v>
      </c>
      <c r="F48" s="32">
        <f t="shared" si="7"/>
        <v>52.019999999999996</v>
      </c>
      <c r="G48" s="32">
        <f t="shared" si="7"/>
        <v>52.92</v>
      </c>
      <c r="H48" s="32">
        <f t="shared" si="7"/>
        <v>53.82</v>
      </c>
      <c r="I48" s="32">
        <f t="shared" si="7"/>
        <v>54.72</v>
      </c>
      <c r="J48" s="32">
        <f t="shared" si="7"/>
        <v>55.62</v>
      </c>
      <c r="K48" s="32">
        <f t="shared" si="7"/>
        <v>56.519999999999996</v>
      </c>
      <c r="L48" s="32">
        <f t="shared" si="7"/>
        <v>57.42</v>
      </c>
      <c r="M48" s="32">
        <f t="shared" si="7"/>
        <v>58.32</v>
      </c>
      <c r="N48" s="32">
        <f t="shared" si="7"/>
        <v>59.22</v>
      </c>
      <c r="O48" s="32">
        <f t="shared" si="7"/>
        <v>60.12</v>
      </c>
      <c r="P48" s="32">
        <f t="shared" si="7"/>
        <v>61.019999999999996</v>
      </c>
      <c r="Q48" s="32">
        <f t="shared" si="7"/>
        <v>61.92</v>
      </c>
      <c r="R48" s="32">
        <f t="shared" si="7"/>
        <v>62.82</v>
      </c>
      <c r="S48" s="32">
        <f t="shared" si="6"/>
        <v>63.72</v>
      </c>
      <c r="T48" s="186">
        <f t="shared" si="6"/>
        <v>64.62</v>
      </c>
      <c r="U48" s="32">
        <f t="shared" si="6"/>
        <v>65.52</v>
      </c>
      <c r="V48" s="32">
        <f t="shared" si="6"/>
        <v>66.42</v>
      </c>
      <c r="W48" s="32">
        <f t="shared" si="6"/>
        <v>67.319999999999993</v>
      </c>
      <c r="X48" s="32">
        <f t="shared" si="6"/>
        <v>68.22</v>
      </c>
      <c r="Y48" s="32">
        <f t="shared" si="6"/>
        <v>69.12</v>
      </c>
      <c r="Z48" s="32">
        <f t="shared" si="6"/>
        <v>70.02</v>
      </c>
      <c r="AA48" s="32">
        <f t="shared" si="3"/>
        <v>70.92</v>
      </c>
      <c r="AB48" s="32">
        <f t="shared" si="3"/>
        <v>71.819999999999993</v>
      </c>
      <c r="AC48" s="32">
        <f t="shared" si="3"/>
        <v>72.72</v>
      </c>
      <c r="AD48" s="32">
        <f t="shared" si="9"/>
        <v>73.62</v>
      </c>
      <c r="AE48" s="32">
        <f t="shared" si="9"/>
        <v>74.52</v>
      </c>
      <c r="AF48" s="32">
        <f t="shared" si="9"/>
        <v>75.42</v>
      </c>
      <c r="AG48" s="32">
        <f t="shared" si="9"/>
        <v>76.319999999999993</v>
      </c>
      <c r="AH48" s="32">
        <f t="shared" si="9"/>
        <v>77.22</v>
      </c>
      <c r="AI48" s="32">
        <f t="shared" si="9"/>
        <v>78.12</v>
      </c>
      <c r="AJ48" s="32">
        <f t="shared" si="9"/>
        <v>79.02</v>
      </c>
      <c r="AK48" s="32">
        <f t="shared" si="9"/>
        <v>79.92</v>
      </c>
      <c r="AL48" s="32">
        <f t="shared" si="9"/>
        <v>80.819999999999993</v>
      </c>
      <c r="AM48" s="32">
        <f t="shared" si="9"/>
        <v>81.72</v>
      </c>
      <c r="AN48" s="32">
        <f t="shared" si="9"/>
        <v>82.62</v>
      </c>
      <c r="AO48" s="32">
        <f t="shared" si="9"/>
        <v>83.52</v>
      </c>
      <c r="AP48" s="32">
        <f t="shared" si="9"/>
        <v>84.42</v>
      </c>
      <c r="AQ48" s="32">
        <f t="shared" si="9"/>
        <v>85.32</v>
      </c>
      <c r="AR48" s="32">
        <f t="shared" si="9"/>
        <v>86.22</v>
      </c>
      <c r="AS48" s="32">
        <f t="shared" si="9"/>
        <v>87.12</v>
      </c>
      <c r="AT48" s="32">
        <f t="shared" si="8"/>
        <v>88.02</v>
      </c>
      <c r="AU48" s="32">
        <f t="shared" si="8"/>
        <v>88.92</v>
      </c>
      <c r="AV48" s="32">
        <f t="shared" si="8"/>
        <v>89.82</v>
      </c>
      <c r="AW48" s="32">
        <f t="shared" si="8"/>
        <v>90.72</v>
      </c>
      <c r="AX48" s="32">
        <f t="shared" si="8"/>
        <v>91.62</v>
      </c>
      <c r="AY48" s="32">
        <f t="shared" si="8"/>
        <v>92.52</v>
      </c>
      <c r="AZ48" s="32">
        <f t="shared" si="8"/>
        <v>93.42</v>
      </c>
      <c r="BA48" s="16"/>
    </row>
    <row r="49" spans="1:53" hidden="1" x14ac:dyDescent="0.25">
      <c r="A49" s="16"/>
      <c r="B49" s="31">
        <v>49</v>
      </c>
      <c r="C49" s="32">
        <f t="shared" si="7"/>
        <v>49.41</v>
      </c>
      <c r="D49" s="32">
        <f t="shared" si="7"/>
        <v>50.31</v>
      </c>
      <c r="E49" s="32">
        <f t="shared" si="7"/>
        <v>51.21</v>
      </c>
      <c r="F49" s="32">
        <f t="shared" si="7"/>
        <v>52.11</v>
      </c>
      <c r="G49" s="32">
        <f t="shared" si="7"/>
        <v>53.01</v>
      </c>
      <c r="H49" s="32">
        <f t="shared" si="7"/>
        <v>53.91</v>
      </c>
      <c r="I49" s="32">
        <f t="shared" si="7"/>
        <v>54.81</v>
      </c>
      <c r="J49" s="32">
        <f t="shared" si="7"/>
        <v>55.71</v>
      </c>
      <c r="K49" s="32">
        <f t="shared" si="7"/>
        <v>56.61</v>
      </c>
      <c r="L49" s="32">
        <f t="shared" si="7"/>
        <v>57.51</v>
      </c>
      <c r="M49" s="32">
        <f t="shared" si="7"/>
        <v>58.410000000000004</v>
      </c>
      <c r="N49" s="32">
        <f t="shared" si="7"/>
        <v>59.310000000000009</v>
      </c>
      <c r="O49" s="32">
        <f t="shared" si="7"/>
        <v>60.210000000000008</v>
      </c>
      <c r="P49" s="32">
        <f t="shared" si="7"/>
        <v>61.110000000000007</v>
      </c>
      <c r="Q49" s="32">
        <f t="shared" si="7"/>
        <v>62.010000000000005</v>
      </c>
      <c r="R49" s="32">
        <f t="shared" si="7"/>
        <v>62.910000000000004</v>
      </c>
      <c r="S49" s="32">
        <f t="shared" si="6"/>
        <v>63.810000000000009</v>
      </c>
      <c r="T49" s="186">
        <f t="shared" si="6"/>
        <v>64.710000000000008</v>
      </c>
      <c r="U49" s="32">
        <f t="shared" si="6"/>
        <v>65.610000000000014</v>
      </c>
      <c r="V49" s="32">
        <f t="shared" si="6"/>
        <v>66.510000000000005</v>
      </c>
      <c r="W49" s="32">
        <f t="shared" si="6"/>
        <v>67.410000000000011</v>
      </c>
      <c r="X49" s="32">
        <f t="shared" si="6"/>
        <v>68.31</v>
      </c>
      <c r="Y49" s="32">
        <f t="shared" si="6"/>
        <v>69.210000000000008</v>
      </c>
      <c r="Z49" s="32">
        <f t="shared" si="6"/>
        <v>70.110000000000014</v>
      </c>
      <c r="AA49" s="32">
        <f t="shared" si="3"/>
        <v>71.010000000000005</v>
      </c>
      <c r="AB49" s="32">
        <f t="shared" si="3"/>
        <v>71.910000000000011</v>
      </c>
      <c r="AC49" s="32">
        <f t="shared" si="3"/>
        <v>72.81</v>
      </c>
      <c r="AD49" s="32">
        <f t="shared" si="9"/>
        <v>73.710000000000008</v>
      </c>
      <c r="AE49" s="32">
        <f t="shared" si="9"/>
        <v>74.610000000000014</v>
      </c>
      <c r="AF49" s="32">
        <f t="shared" si="9"/>
        <v>75.510000000000005</v>
      </c>
      <c r="AG49" s="32">
        <f t="shared" si="9"/>
        <v>76.410000000000011</v>
      </c>
      <c r="AH49" s="32">
        <f t="shared" si="9"/>
        <v>77.31</v>
      </c>
      <c r="AI49" s="32">
        <f t="shared" si="9"/>
        <v>78.210000000000008</v>
      </c>
      <c r="AJ49" s="32">
        <f t="shared" si="9"/>
        <v>79.110000000000014</v>
      </c>
      <c r="AK49" s="32">
        <f t="shared" si="9"/>
        <v>80.010000000000005</v>
      </c>
      <c r="AL49" s="32">
        <f t="shared" si="9"/>
        <v>80.910000000000011</v>
      </c>
      <c r="AM49" s="32">
        <f t="shared" si="9"/>
        <v>81.81</v>
      </c>
      <c r="AN49" s="32">
        <f t="shared" si="9"/>
        <v>82.710000000000008</v>
      </c>
      <c r="AO49" s="32">
        <f t="shared" si="9"/>
        <v>83.610000000000014</v>
      </c>
      <c r="AP49" s="32">
        <f t="shared" si="9"/>
        <v>84.51</v>
      </c>
      <c r="AQ49" s="32">
        <f t="shared" si="9"/>
        <v>85.410000000000011</v>
      </c>
      <c r="AR49" s="32">
        <f t="shared" si="9"/>
        <v>86.31</v>
      </c>
      <c r="AS49" s="32">
        <f t="shared" si="9"/>
        <v>87.210000000000008</v>
      </c>
      <c r="AT49" s="32">
        <f t="shared" si="8"/>
        <v>88.110000000000014</v>
      </c>
      <c r="AU49" s="32">
        <f t="shared" si="8"/>
        <v>89.01</v>
      </c>
      <c r="AV49" s="32">
        <f t="shared" si="8"/>
        <v>89.910000000000011</v>
      </c>
      <c r="AW49" s="32">
        <f t="shared" si="8"/>
        <v>90.81</v>
      </c>
      <c r="AX49" s="32">
        <f t="shared" si="8"/>
        <v>91.710000000000008</v>
      </c>
      <c r="AY49" s="32">
        <f t="shared" si="8"/>
        <v>92.610000000000014</v>
      </c>
      <c r="AZ49" s="32">
        <f t="shared" si="8"/>
        <v>93.51</v>
      </c>
      <c r="BA49" s="16"/>
    </row>
    <row r="50" spans="1:53" hidden="1" x14ac:dyDescent="0.25">
      <c r="A50" s="16"/>
      <c r="B50" s="31">
        <v>50</v>
      </c>
      <c r="C50" s="32">
        <f t="shared" si="7"/>
        <v>49.5</v>
      </c>
      <c r="D50" s="32">
        <f t="shared" si="7"/>
        <v>50.4</v>
      </c>
      <c r="E50" s="32">
        <f t="shared" si="7"/>
        <v>51.300000000000004</v>
      </c>
      <c r="F50" s="32">
        <f t="shared" si="7"/>
        <v>52.2</v>
      </c>
      <c r="G50" s="32">
        <f t="shared" si="7"/>
        <v>53.1</v>
      </c>
      <c r="H50" s="32">
        <f t="shared" si="7"/>
        <v>54</v>
      </c>
      <c r="I50" s="32">
        <f t="shared" si="7"/>
        <v>54.9</v>
      </c>
      <c r="J50" s="32">
        <f t="shared" si="7"/>
        <v>55.800000000000004</v>
      </c>
      <c r="K50" s="32">
        <f t="shared" si="7"/>
        <v>56.7</v>
      </c>
      <c r="L50" s="32">
        <f t="shared" si="7"/>
        <v>57.6</v>
      </c>
      <c r="M50" s="32">
        <f t="shared" si="7"/>
        <v>58.5</v>
      </c>
      <c r="N50" s="32">
        <f t="shared" si="7"/>
        <v>59.4</v>
      </c>
      <c r="O50" s="32">
        <f t="shared" si="7"/>
        <v>60.300000000000004</v>
      </c>
      <c r="P50" s="32">
        <f t="shared" si="7"/>
        <v>61.2</v>
      </c>
      <c r="Q50" s="32">
        <f t="shared" si="7"/>
        <v>62.1</v>
      </c>
      <c r="R50" s="32">
        <f t="shared" si="7"/>
        <v>63</v>
      </c>
      <c r="S50" s="32">
        <f t="shared" si="6"/>
        <v>63.9</v>
      </c>
      <c r="T50" s="186">
        <f t="shared" si="6"/>
        <v>64.8</v>
      </c>
      <c r="U50" s="32">
        <f t="shared" si="6"/>
        <v>65.7</v>
      </c>
      <c r="V50" s="32">
        <f t="shared" si="6"/>
        <v>66.600000000000009</v>
      </c>
      <c r="W50" s="32">
        <f t="shared" si="6"/>
        <v>67.5</v>
      </c>
      <c r="X50" s="32">
        <f t="shared" si="6"/>
        <v>68.400000000000006</v>
      </c>
      <c r="Y50" s="32">
        <f t="shared" si="6"/>
        <v>69.3</v>
      </c>
      <c r="Z50" s="32">
        <f t="shared" si="6"/>
        <v>70.2</v>
      </c>
      <c r="AA50" s="32">
        <f t="shared" si="3"/>
        <v>71.100000000000009</v>
      </c>
      <c r="AB50" s="32">
        <f t="shared" si="3"/>
        <v>72</v>
      </c>
      <c r="AC50" s="32">
        <f t="shared" si="3"/>
        <v>72.900000000000006</v>
      </c>
      <c r="AD50" s="32">
        <f t="shared" si="9"/>
        <v>73.8</v>
      </c>
      <c r="AE50" s="32">
        <f t="shared" si="9"/>
        <v>74.7</v>
      </c>
      <c r="AF50" s="32">
        <f t="shared" si="9"/>
        <v>75.600000000000009</v>
      </c>
      <c r="AG50" s="32">
        <f t="shared" si="9"/>
        <v>76.5</v>
      </c>
      <c r="AH50" s="32">
        <f t="shared" si="9"/>
        <v>77.400000000000006</v>
      </c>
      <c r="AI50" s="32">
        <f t="shared" si="9"/>
        <v>78.3</v>
      </c>
      <c r="AJ50" s="32">
        <f t="shared" si="9"/>
        <v>79.2</v>
      </c>
      <c r="AK50" s="32">
        <f t="shared" si="9"/>
        <v>80.100000000000009</v>
      </c>
      <c r="AL50" s="32">
        <f t="shared" si="9"/>
        <v>81</v>
      </c>
      <c r="AM50" s="32">
        <f t="shared" si="9"/>
        <v>81.900000000000006</v>
      </c>
      <c r="AN50" s="32">
        <f t="shared" si="9"/>
        <v>82.8</v>
      </c>
      <c r="AO50" s="32">
        <f t="shared" si="9"/>
        <v>83.7</v>
      </c>
      <c r="AP50" s="32">
        <f t="shared" si="9"/>
        <v>84.600000000000009</v>
      </c>
      <c r="AQ50" s="32">
        <f t="shared" si="9"/>
        <v>85.5</v>
      </c>
      <c r="AR50" s="32">
        <f t="shared" si="9"/>
        <v>86.4</v>
      </c>
      <c r="AS50" s="32">
        <f t="shared" si="9"/>
        <v>87.3</v>
      </c>
      <c r="AT50" s="32">
        <f t="shared" si="8"/>
        <v>88.2</v>
      </c>
      <c r="AU50" s="32">
        <f t="shared" si="8"/>
        <v>89.100000000000009</v>
      </c>
      <c r="AV50" s="32">
        <f t="shared" si="8"/>
        <v>90</v>
      </c>
      <c r="AW50" s="32">
        <f t="shared" si="8"/>
        <v>90.9</v>
      </c>
      <c r="AX50" s="32">
        <f t="shared" si="8"/>
        <v>91.8</v>
      </c>
      <c r="AY50" s="32">
        <f t="shared" si="8"/>
        <v>92.7</v>
      </c>
      <c r="AZ50" s="32">
        <f t="shared" si="8"/>
        <v>93.600000000000009</v>
      </c>
      <c r="BA50" s="16"/>
    </row>
    <row r="51" spans="1:53" hidden="1" x14ac:dyDescent="0.25">
      <c r="A51" s="16"/>
      <c r="B51" s="31">
        <v>51</v>
      </c>
      <c r="C51" s="32">
        <f t="shared" si="7"/>
        <v>49.59</v>
      </c>
      <c r="D51" s="32">
        <f t="shared" si="7"/>
        <v>50.49</v>
      </c>
      <c r="E51" s="32">
        <f t="shared" si="7"/>
        <v>51.39</v>
      </c>
      <c r="F51" s="32">
        <f t="shared" si="7"/>
        <v>52.29</v>
      </c>
      <c r="G51" s="32">
        <f t="shared" si="7"/>
        <v>53.190000000000005</v>
      </c>
      <c r="H51" s="32">
        <f t="shared" si="7"/>
        <v>54.09</v>
      </c>
      <c r="I51" s="32">
        <f t="shared" si="7"/>
        <v>54.99</v>
      </c>
      <c r="J51" s="32">
        <f t="shared" si="7"/>
        <v>55.89</v>
      </c>
      <c r="K51" s="32">
        <f t="shared" si="7"/>
        <v>56.79</v>
      </c>
      <c r="L51" s="32">
        <f t="shared" si="7"/>
        <v>57.69</v>
      </c>
      <c r="M51" s="32">
        <f t="shared" si="7"/>
        <v>58.589999999999996</v>
      </c>
      <c r="N51" s="32">
        <f t="shared" si="7"/>
        <v>59.489999999999995</v>
      </c>
      <c r="O51" s="32">
        <f t="shared" si="7"/>
        <v>60.389999999999993</v>
      </c>
      <c r="P51" s="32">
        <f t="shared" si="7"/>
        <v>61.29</v>
      </c>
      <c r="Q51" s="32">
        <f t="shared" si="7"/>
        <v>62.19</v>
      </c>
      <c r="R51" s="32">
        <f t="shared" si="7"/>
        <v>63.089999999999996</v>
      </c>
      <c r="S51" s="32">
        <f t="shared" si="6"/>
        <v>63.989999999999995</v>
      </c>
      <c r="T51" s="186">
        <f t="shared" si="6"/>
        <v>64.89</v>
      </c>
      <c r="U51" s="32">
        <f t="shared" si="6"/>
        <v>65.789999999999992</v>
      </c>
      <c r="V51" s="32">
        <f t="shared" si="6"/>
        <v>66.69</v>
      </c>
      <c r="W51" s="32">
        <f t="shared" si="6"/>
        <v>67.59</v>
      </c>
      <c r="X51" s="32">
        <f t="shared" si="6"/>
        <v>68.489999999999995</v>
      </c>
      <c r="Y51" s="32">
        <f t="shared" si="6"/>
        <v>69.39</v>
      </c>
      <c r="Z51" s="32">
        <f t="shared" si="6"/>
        <v>70.289999999999992</v>
      </c>
      <c r="AA51" s="32">
        <f t="shared" si="3"/>
        <v>71.19</v>
      </c>
      <c r="AB51" s="32">
        <f t="shared" si="3"/>
        <v>72.09</v>
      </c>
      <c r="AC51" s="32">
        <f t="shared" si="3"/>
        <v>72.989999999999995</v>
      </c>
      <c r="AD51" s="32">
        <f t="shared" si="9"/>
        <v>73.89</v>
      </c>
      <c r="AE51" s="32">
        <f t="shared" si="9"/>
        <v>74.789999999999992</v>
      </c>
      <c r="AF51" s="32">
        <f t="shared" si="9"/>
        <v>75.69</v>
      </c>
      <c r="AG51" s="32">
        <f t="shared" si="9"/>
        <v>76.59</v>
      </c>
      <c r="AH51" s="32">
        <f t="shared" si="9"/>
        <v>77.489999999999995</v>
      </c>
      <c r="AI51" s="32">
        <f t="shared" si="9"/>
        <v>78.39</v>
      </c>
      <c r="AJ51" s="32">
        <f t="shared" si="9"/>
        <v>79.289999999999992</v>
      </c>
      <c r="AK51" s="32">
        <f t="shared" si="9"/>
        <v>80.19</v>
      </c>
      <c r="AL51" s="32">
        <f t="shared" si="9"/>
        <v>81.09</v>
      </c>
      <c r="AM51" s="32">
        <f t="shared" si="9"/>
        <v>81.99</v>
      </c>
      <c r="AN51" s="32">
        <f t="shared" si="9"/>
        <v>82.89</v>
      </c>
      <c r="AO51" s="32">
        <f t="shared" si="9"/>
        <v>83.789999999999992</v>
      </c>
      <c r="AP51" s="32">
        <f t="shared" si="9"/>
        <v>84.69</v>
      </c>
      <c r="AQ51" s="32">
        <f t="shared" si="9"/>
        <v>85.59</v>
      </c>
      <c r="AR51" s="32">
        <f t="shared" si="9"/>
        <v>86.49</v>
      </c>
      <c r="AS51" s="32">
        <f t="shared" si="9"/>
        <v>87.39</v>
      </c>
      <c r="AT51" s="32">
        <f t="shared" si="8"/>
        <v>88.289999999999992</v>
      </c>
      <c r="AU51" s="32">
        <f t="shared" si="8"/>
        <v>89.19</v>
      </c>
      <c r="AV51" s="32">
        <f t="shared" si="8"/>
        <v>90.09</v>
      </c>
      <c r="AW51" s="32">
        <f t="shared" si="8"/>
        <v>90.99</v>
      </c>
      <c r="AX51" s="32">
        <f t="shared" si="8"/>
        <v>91.89</v>
      </c>
      <c r="AY51" s="32">
        <f t="shared" si="8"/>
        <v>92.789999999999992</v>
      </c>
      <c r="AZ51" s="32">
        <f t="shared" si="8"/>
        <v>93.69</v>
      </c>
      <c r="BA51" s="16"/>
    </row>
    <row r="52" spans="1:53" hidden="1" x14ac:dyDescent="0.25">
      <c r="A52" s="16"/>
      <c r="B52" s="31">
        <v>52</v>
      </c>
      <c r="C52" s="32">
        <f t="shared" si="7"/>
        <v>49.680000000000007</v>
      </c>
      <c r="D52" s="32">
        <f t="shared" si="7"/>
        <v>50.580000000000005</v>
      </c>
      <c r="E52" s="32">
        <f t="shared" si="7"/>
        <v>51.480000000000004</v>
      </c>
      <c r="F52" s="32">
        <f t="shared" si="7"/>
        <v>52.38</v>
      </c>
      <c r="G52" s="32">
        <f t="shared" si="7"/>
        <v>53.28</v>
      </c>
      <c r="H52" s="32">
        <f t="shared" si="7"/>
        <v>54.180000000000007</v>
      </c>
      <c r="I52" s="32">
        <f t="shared" si="7"/>
        <v>55.080000000000005</v>
      </c>
      <c r="J52" s="32">
        <f t="shared" si="7"/>
        <v>55.980000000000004</v>
      </c>
      <c r="K52" s="32">
        <f t="shared" si="7"/>
        <v>56.88</v>
      </c>
      <c r="L52" s="32">
        <f t="shared" si="7"/>
        <v>57.78</v>
      </c>
      <c r="M52" s="32">
        <f t="shared" si="7"/>
        <v>58.680000000000007</v>
      </c>
      <c r="N52" s="32">
        <f t="shared" si="7"/>
        <v>59.580000000000005</v>
      </c>
      <c r="O52" s="32">
        <f t="shared" si="7"/>
        <v>60.480000000000004</v>
      </c>
      <c r="P52" s="32">
        <f t="shared" si="7"/>
        <v>61.38</v>
      </c>
      <c r="Q52" s="32">
        <f t="shared" si="7"/>
        <v>62.28</v>
      </c>
      <c r="R52" s="32">
        <f t="shared" si="7"/>
        <v>63.180000000000007</v>
      </c>
      <c r="S52" s="32">
        <f t="shared" si="6"/>
        <v>64.08</v>
      </c>
      <c r="T52" s="186">
        <f t="shared" si="6"/>
        <v>64.98</v>
      </c>
      <c r="U52" s="32">
        <f t="shared" si="6"/>
        <v>65.88000000000001</v>
      </c>
      <c r="V52" s="32">
        <f t="shared" si="6"/>
        <v>66.78</v>
      </c>
      <c r="W52" s="32">
        <f t="shared" si="6"/>
        <v>67.680000000000007</v>
      </c>
      <c r="X52" s="32">
        <f t="shared" si="6"/>
        <v>68.58</v>
      </c>
      <c r="Y52" s="32">
        <f t="shared" si="6"/>
        <v>69.48</v>
      </c>
      <c r="Z52" s="32">
        <f t="shared" si="6"/>
        <v>70.38000000000001</v>
      </c>
      <c r="AA52" s="32">
        <f t="shared" si="3"/>
        <v>71.28</v>
      </c>
      <c r="AB52" s="32">
        <f t="shared" si="3"/>
        <v>72.180000000000007</v>
      </c>
      <c r="AC52" s="32">
        <f t="shared" si="3"/>
        <v>73.08</v>
      </c>
      <c r="AD52" s="32">
        <f t="shared" si="9"/>
        <v>73.98</v>
      </c>
      <c r="AE52" s="32">
        <f t="shared" si="9"/>
        <v>74.88000000000001</v>
      </c>
      <c r="AF52" s="32">
        <f t="shared" si="9"/>
        <v>75.78</v>
      </c>
      <c r="AG52" s="32">
        <f t="shared" si="9"/>
        <v>76.680000000000007</v>
      </c>
      <c r="AH52" s="32">
        <f t="shared" si="9"/>
        <v>77.58</v>
      </c>
      <c r="AI52" s="32">
        <f t="shared" si="9"/>
        <v>78.48</v>
      </c>
      <c r="AJ52" s="32">
        <f t="shared" si="9"/>
        <v>79.38000000000001</v>
      </c>
      <c r="AK52" s="32">
        <f t="shared" si="9"/>
        <v>80.28</v>
      </c>
      <c r="AL52" s="32">
        <f t="shared" si="9"/>
        <v>81.180000000000007</v>
      </c>
      <c r="AM52" s="32">
        <f t="shared" si="9"/>
        <v>82.08</v>
      </c>
      <c r="AN52" s="32">
        <f t="shared" si="9"/>
        <v>82.98</v>
      </c>
      <c r="AO52" s="32">
        <f t="shared" si="9"/>
        <v>83.88000000000001</v>
      </c>
      <c r="AP52" s="32">
        <f t="shared" si="9"/>
        <v>84.78</v>
      </c>
      <c r="AQ52" s="32">
        <f t="shared" si="9"/>
        <v>85.68</v>
      </c>
      <c r="AR52" s="32">
        <f t="shared" si="9"/>
        <v>86.58</v>
      </c>
      <c r="AS52" s="32">
        <f t="shared" si="9"/>
        <v>87.48</v>
      </c>
      <c r="AT52" s="32">
        <f t="shared" si="8"/>
        <v>88.38000000000001</v>
      </c>
      <c r="AU52" s="32">
        <f t="shared" si="8"/>
        <v>89.28</v>
      </c>
      <c r="AV52" s="32">
        <f t="shared" si="8"/>
        <v>90.18</v>
      </c>
      <c r="AW52" s="32">
        <f t="shared" si="8"/>
        <v>91.08</v>
      </c>
      <c r="AX52" s="32">
        <f t="shared" si="8"/>
        <v>91.98</v>
      </c>
      <c r="AY52" s="32">
        <f t="shared" si="8"/>
        <v>92.88000000000001</v>
      </c>
      <c r="AZ52" s="32">
        <f t="shared" si="8"/>
        <v>93.78</v>
      </c>
      <c r="BA52" s="16"/>
    </row>
    <row r="53" spans="1:53" hidden="1" x14ac:dyDescent="0.25">
      <c r="A53" s="16"/>
      <c r="B53" s="31">
        <v>53</v>
      </c>
      <c r="C53" s="32">
        <f t="shared" si="7"/>
        <v>49.769999999999996</v>
      </c>
      <c r="D53" s="32">
        <f t="shared" si="7"/>
        <v>50.67</v>
      </c>
      <c r="E53" s="32">
        <f t="shared" si="7"/>
        <v>51.57</v>
      </c>
      <c r="F53" s="32">
        <f t="shared" si="7"/>
        <v>52.47</v>
      </c>
      <c r="G53" s="32">
        <f t="shared" si="7"/>
        <v>53.37</v>
      </c>
      <c r="H53" s="32">
        <f t="shared" si="7"/>
        <v>54.269999999999996</v>
      </c>
      <c r="I53" s="32">
        <f t="shared" si="7"/>
        <v>55.17</v>
      </c>
      <c r="J53" s="32">
        <f t="shared" si="7"/>
        <v>56.07</v>
      </c>
      <c r="K53" s="32">
        <f t="shared" si="7"/>
        <v>56.97</v>
      </c>
      <c r="L53" s="32">
        <f t="shared" si="7"/>
        <v>57.87</v>
      </c>
      <c r="M53" s="32">
        <f t="shared" si="7"/>
        <v>58.769999999999996</v>
      </c>
      <c r="N53" s="32">
        <f t="shared" si="7"/>
        <v>59.67</v>
      </c>
      <c r="O53" s="32">
        <f t="shared" si="7"/>
        <v>60.57</v>
      </c>
      <c r="P53" s="32">
        <f t="shared" si="7"/>
        <v>61.47</v>
      </c>
      <c r="Q53" s="32">
        <f t="shared" si="7"/>
        <v>62.37</v>
      </c>
      <c r="R53" s="32">
        <f t="shared" si="7"/>
        <v>63.269999999999996</v>
      </c>
      <c r="S53" s="32">
        <f t="shared" si="6"/>
        <v>64.17</v>
      </c>
      <c r="T53" s="186">
        <f t="shared" si="6"/>
        <v>65.069999999999993</v>
      </c>
      <c r="U53" s="32">
        <f t="shared" si="6"/>
        <v>65.97</v>
      </c>
      <c r="V53" s="32">
        <f t="shared" si="6"/>
        <v>66.87</v>
      </c>
      <c r="W53" s="32">
        <f t="shared" si="6"/>
        <v>67.77</v>
      </c>
      <c r="X53" s="32">
        <f t="shared" si="6"/>
        <v>68.67</v>
      </c>
      <c r="Y53" s="32">
        <f t="shared" si="6"/>
        <v>69.569999999999993</v>
      </c>
      <c r="Z53" s="32">
        <f t="shared" si="6"/>
        <v>70.47</v>
      </c>
      <c r="AA53" s="32">
        <f t="shared" si="3"/>
        <v>71.37</v>
      </c>
      <c r="AB53" s="32">
        <f t="shared" si="3"/>
        <v>72.27</v>
      </c>
      <c r="AC53" s="32">
        <f t="shared" si="3"/>
        <v>73.17</v>
      </c>
      <c r="AD53" s="32">
        <f t="shared" si="9"/>
        <v>74.069999999999993</v>
      </c>
      <c r="AE53" s="32">
        <f t="shared" si="9"/>
        <v>74.97</v>
      </c>
      <c r="AF53" s="32">
        <f t="shared" si="9"/>
        <v>75.87</v>
      </c>
      <c r="AG53" s="32">
        <f t="shared" si="9"/>
        <v>76.77</v>
      </c>
      <c r="AH53" s="32">
        <f t="shared" si="9"/>
        <v>77.67</v>
      </c>
      <c r="AI53" s="32">
        <f t="shared" si="9"/>
        <v>78.569999999999993</v>
      </c>
      <c r="AJ53" s="32">
        <f t="shared" si="9"/>
        <v>79.47</v>
      </c>
      <c r="AK53" s="32">
        <f t="shared" si="9"/>
        <v>80.37</v>
      </c>
      <c r="AL53" s="32">
        <f t="shared" si="9"/>
        <v>81.27</v>
      </c>
      <c r="AM53" s="32">
        <f t="shared" si="9"/>
        <v>82.17</v>
      </c>
      <c r="AN53" s="32">
        <f t="shared" si="9"/>
        <v>83.07</v>
      </c>
      <c r="AO53" s="32">
        <f t="shared" si="9"/>
        <v>83.97</v>
      </c>
      <c r="AP53" s="32">
        <f t="shared" si="9"/>
        <v>84.87</v>
      </c>
      <c r="AQ53" s="32">
        <f t="shared" si="9"/>
        <v>85.77</v>
      </c>
      <c r="AR53" s="32">
        <f t="shared" si="9"/>
        <v>86.67</v>
      </c>
      <c r="AS53" s="32">
        <f t="shared" si="9"/>
        <v>87.57</v>
      </c>
      <c r="AT53" s="32">
        <f t="shared" si="8"/>
        <v>88.47</v>
      </c>
      <c r="AU53" s="32">
        <f t="shared" si="8"/>
        <v>89.37</v>
      </c>
      <c r="AV53" s="32">
        <f t="shared" si="8"/>
        <v>90.27</v>
      </c>
      <c r="AW53" s="32">
        <f t="shared" si="8"/>
        <v>91.17</v>
      </c>
      <c r="AX53" s="32">
        <f t="shared" si="8"/>
        <v>92.07</v>
      </c>
      <c r="AY53" s="32">
        <f t="shared" si="8"/>
        <v>92.97</v>
      </c>
      <c r="AZ53" s="32">
        <f t="shared" si="8"/>
        <v>93.87</v>
      </c>
      <c r="BA53" s="16"/>
    </row>
    <row r="54" spans="1:53" hidden="1" x14ac:dyDescent="0.25">
      <c r="A54" s="16"/>
      <c r="B54" s="31">
        <v>54</v>
      </c>
      <c r="C54" s="32">
        <f t="shared" si="7"/>
        <v>49.86</v>
      </c>
      <c r="D54" s="32">
        <f t="shared" si="7"/>
        <v>50.76</v>
      </c>
      <c r="E54" s="32">
        <f t="shared" si="7"/>
        <v>51.66</v>
      </c>
      <c r="F54" s="32">
        <f t="shared" si="7"/>
        <v>52.56</v>
      </c>
      <c r="G54" s="32">
        <f t="shared" si="7"/>
        <v>53.46</v>
      </c>
      <c r="H54" s="32">
        <f t="shared" si="7"/>
        <v>54.36</v>
      </c>
      <c r="I54" s="32">
        <f t="shared" si="7"/>
        <v>55.26</v>
      </c>
      <c r="J54" s="32">
        <f t="shared" si="7"/>
        <v>56.16</v>
      </c>
      <c r="K54" s="32">
        <f t="shared" si="7"/>
        <v>57.06</v>
      </c>
      <c r="L54" s="32">
        <f t="shared" si="7"/>
        <v>57.960000000000008</v>
      </c>
      <c r="M54" s="32">
        <f t="shared" si="7"/>
        <v>58.860000000000007</v>
      </c>
      <c r="N54" s="32">
        <f t="shared" si="7"/>
        <v>59.760000000000005</v>
      </c>
      <c r="O54" s="32">
        <f t="shared" si="7"/>
        <v>60.660000000000004</v>
      </c>
      <c r="P54" s="32">
        <f t="shared" si="7"/>
        <v>61.560000000000009</v>
      </c>
      <c r="Q54" s="32">
        <f t="shared" si="7"/>
        <v>62.460000000000008</v>
      </c>
      <c r="R54" s="32">
        <f t="shared" si="7"/>
        <v>63.360000000000007</v>
      </c>
      <c r="S54" s="32">
        <f t="shared" si="6"/>
        <v>64.260000000000005</v>
      </c>
      <c r="T54" s="186">
        <f t="shared" si="6"/>
        <v>65.160000000000011</v>
      </c>
      <c r="U54" s="32">
        <f t="shared" si="6"/>
        <v>66.06</v>
      </c>
      <c r="V54" s="32">
        <f t="shared" si="6"/>
        <v>66.960000000000008</v>
      </c>
      <c r="W54" s="32">
        <f t="shared" si="6"/>
        <v>67.860000000000014</v>
      </c>
      <c r="X54" s="32">
        <f t="shared" si="6"/>
        <v>68.760000000000005</v>
      </c>
      <c r="Y54" s="32">
        <f t="shared" si="6"/>
        <v>69.660000000000011</v>
      </c>
      <c r="Z54" s="32">
        <f t="shared" si="6"/>
        <v>70.56</v>
      </c>
      <c r="AA54" s="32">
        <f t="shared" si="3"/>
        <v>71.460000000000008</v>
      </c>
      <c r="AB54" s="32">
        <f t="shared" si="3"/>
        <v>72.360000000000014</v>
      </c>
      <c r="AC54" s="32">
        <f t="shared" si="3"/>
        <v>73.260000000000005</v>
      </c>
      <c r="AD54" s="32">
        <f t="shared" si="9"/>
        <v>74.160000000000011</v>
      </c>
      <c r="AE54" s="32">
        <f t="shared" si="9"/>
        <v>75.06</v>
      </c>
      <c r="AF54" s="32">
        <f t="shared" si="9"/>
        <v>75.960000000000008</v>
      </c>
      <c r="AG54" s="32">
        <f t="shared" si="9"/>
        <v>76.860000000000014</v>
      </c>
      <c r="AH54" s="32">
        <f t="shared" si="9"/>
        <v>77.760000000000005</v>
      </c>
      <c r="AI54" s="32">
        <f t="shared" si="9"/>
        <v>78.660000000000011</v>
      </c>
      <c r="AJ54" s="32">
        <f t="shared" si="9"/>
        <v>79.56</v>
      </c>
      <c r="AK54" s="32">
        <f t="shared" si="9"/>
        <v>80.460000000000008</v>
      </c>
      <c r="AL54" s="32">
        <f t="shared" si="9"/>
        <v>81.360000000000014</v>
      </c>
      <c r="AM54" s="32">
        <f t="shared" si="9"/>
        <v>82.26</v>
      </c>
      <c r="AN54" s="32">
        <f t="shared" si="9"/>
        <v>83.160000000000011</v>
      </c>
      <c r="AO54" s="32">
        <f t="shared" si="9"/>
        <v>84.06</v>
      </c>
      <c r="AP54" s="32">
        <f t="shared" si="9"/>
        <v>84.960000000000008</v>
      </c>
      <c r="AQ54" s="32">
        <f t="shared" si="9"/>
        <v>85.860000000000014</v>
      </c>
      <c r="AR54" s="32">
        <f t="shared" si="9"/>
        <v>86.76</v>
      </c>
      <c r="AS54" s="32">
        <f t="shared" si="9"/>
        <v>87.660000000000011</v>
      </c>
      <c r="AT54" s="32">
        <f t="shared" si="8"/>
        <v>88.56</v>
      </c>
      <c r="AU54" s="32">
        <f t="shared" si="8"/>
        <v>89.460000000000008</v>
      </c>
      <c r="AV54" s="32">
        <f t="shared" si="8"/>
        <v>90.360000000000014</v>
      </c>
      <c r="AW54" s="32">
        <f t="shared" si="8"/>
        <v>91.26</v>
      </c>
      <c r="AX54" s="32">
        <f t="shared" si="8"/>
        <v>92.160000000000011</v>
      </c>
      <c r="AY54" s="32">
        <f t="shared" si="8"/>
        <v>93.06</v>
      </c>
      <c r="AZ54" s="32">
        <f t="shared" si="8"/>
        <v>93.960000000000008</v>
      </c>
      <c r="BA54" s="16"/>
    </row>
    <row r="55" spans="1:53" hidden="1" x14ac:dyDescent="0.25">
      <c r="A55" s="16"/>
      <c r="B55" s="31">
        <v>55</v>
      </c>
      <c r="C55" s="32">
        <f t="shared" si="7"/>
        <v>49.95</v>
      </c>
      <c r="D55" s="32">
        <f t="shared" si="7"/>
        <v>50.85</v>
      </c>
      <c r="E55" s="32">
        <f t="shared" si="7"/>
        <v>51.75</v>
      </c>
      <c r="F55" s="32">
        <f t="shared" si="7"/>
        <v>52.65</v>
      </c>
      <c r="G55" s="32">
        <f t="shared" si="7"/>
        <v>53.550000000000004</v>
      </c>
      <c r="H55" s="32">
        <f t="shared" si="7"/>
        <v>54.45</v>
      </c>
      <c r="I55" s="32">
        <f t="shared" si="7"/>
        <v>55.35</v>
      </c>
      <c r="J55" s="32">
        <f t="shared" si="7"/>
        <v>56.25</v>
      </c>
      <c r="K55" s="32">
        <f t="shared" si="7"/>
        <v>57.15</v>
      </c>
      <c r="L55" s="32">
        <f t="shared" si="7"/>
        <v>58.050000000000004</v>
      </c>
      <c r="M55" s="32">
        <f t="shared" si="7"/>
        <v>58.95</v>
      </c>
      <c r="N55" s="32">
        <f t="shared" si="7"/>
        <v>59.85</v>
      </c>
      <c r="O55" s="32">
        <f t="shared" si="7"/>
        <v>60.75</v>
      </c>
      <c r="P55" s="32">
        <f t="shared" si="7"/>
        <v>61.65</v>
      </c>
      <c r="Q55" s="32">
        <f t="shared" si="7"/>
        <v>62.550000000000004</v>
      </c>
      <c r="R55" s="32">
        <f t="shared" si="7"/>
        <v>63.45</v>
      </c>
      <c r="S55" s="32">
        <f t="shared" si="6"/>
        <v>64.350000000000009</v>
      </c>
      <c r="T55" s="186">
        <f t="shared" si="6"/>
        <v>65.25</v>
      </c>
      <c r="U55" s="32">
        <f t="shared" si="6"/>
        <v>66.150000000000006</v>
      </c>
      <c r="V55" s="32">
        <f t="shared" si="6"/>
        <v>67.05</v>
      </c>
      <c r="W55" s="32">
        <f t="shared" si="6"/>
        <v>67.95</v>
      </c>
      <c r="X55" s="32">
        <f t="shared" si="6"/>
        <v>68.850000000000009</v>
      </c>
      <c r="Y55" s="32">
        <f t="shared" si="6"/>
        <v>69.75</v>
      </c>
      <c r="Z55" s="32">
        <f t="shared" si="6"/>
        <v>70.650000000000006</v>
      </c>
      <c r="AA55" s="32">
        <f t="shared" si="3"/>
        <v>71.55</v>
      </c>
      <c r="AB55" s="32">
        <f t="shared" si="3"/>
        <v>72.45</v>
      </c>
      <c r="AC55" s="32">
        <f t="shared" si="3"/>
        <v>73.350000000000009</v>
      </c>
      <c r="AD55" s="32">
        <f t="shared" si="9"/>
        <v>74.25</v>
      </c>
      <c r="AE55" s="32">
        <f t="shared" si="9"/>
        <v>75.150000000000006</v>
      </c>
      <c r="AF55" s="32">
        <f t="shared" si="9"/>
        <v>76.05</v>
      </c>
      <c r="AG55" s="32">
        <f t="shared" si="9"/>
        <v>76.95</v>
      </c>
      <c r="AH55" s="32">
        <f t="shared" si="9"/>
        <v>77.850000000000009</v>
      </c>
      <c r="AI55" s="32">
        <f t="shared" si="9"/>
        <v>78.75</v>
      </c>
      <c r="AJ55" s="32">
        <f t="shared" si="9"/>
        <v>79.650000000000006</v>
      </c>
      <c r="AK55" s="32">
        <f t="shared" si="9"/>
        <v>80.55</v>
      </c>
      <c r="AL55" s="32">
        <f t="shared" si="9"/>
        <v>81.45</v>
      </c>
      <c r="AM55" s="32">
        <f t="shared" si="9"/>
        <v>82.350000000000009</v>
      </c>
      <c r="AN55" s="32">
        <f t="shared" si="9"/>
        <v>83.25</v>
      </c>
      <c r="AO55" s="32">
        <f t="shared" si="9"/>
        <v>84.15</v>
      </c>
      <c r="AP55" s="32">
        <f t="shared" si="9"/>
        <v>85.05</v>
      </c>
      <c r="AQ55" s="32">
        <f t="shared" si="9"/>
        <v>85.95</v>
      </c>
      <c r="AR55" s="32">
        <f t="shared" si="9"/>
        <v>86.850000000000009</v>
      </c>
      <c r="AS55" s="32">
        <f t="shared" si="9"/>
        <v>87.75</v>
      </c>
      <c r="AT55" s="32">
        <f t="shared" si="8"/>
        <v>88.65</v>
      </c>
      <c r="AU55" s="32">
        <f t="shared" si="8"/>
        <v>89.55</v>
      </c>
      <c r="AV55" s="32">
        <f t="shared" si="8"/>
        <v>90.45</v>
      </c>
      <c r="AW55" s="32">
        <f t="shared" si="8"/>
        <v>91.350000000000009</v>
      </c>
      <c r="AX55" s="32">
        <f t="shared" si="8"/>
        <v>92.25</v>
      </c>
      <c r="AY55" s="32">
        <f t="shared" si="8"/>
        <v>93.15</v>
      </c>
      <c r="AZ55" s="32">
        <f t="shared" si="8"/>
        <v>94.05</v>
      </c>
      <c r="BA55" s="16"/>
    </row>
    <row r="56" spans="1:53" hidden="1" x14ac:dyDescent="0.25">
      <c r="A56" s="16"/>
      <c r="B56" s="31">
        <v>56</v>
      </c>
      <c r="C56" s="32">
        <f t="shared" si="7"/>
        <v>50.04</v>
      </c>
      <c r="D56" s="32">
        <f t="shared" si="7"/>
        <v>50.940000000000005</v>
      </c>
      <c r="E56" s="32">
        <f t="shared" si="7"/>
        <v>51.84</v>
      </c>
      <c r="F56" s="32">
        <f t="shared" si="7"/>
        <v>52.74</v>
      </c>
      <c r="G56" s="32">
        <f t="shared" si="7"/>
        <v>53.64</v>
      </c>
      <c r="H56" s="32">
        <f t="shared" si="7"/>
        <v>54.54</v>
      </c>
      <c r="I56" s="32">
        <f t="shared" si="7"/>
        <v>55.440000000000005</v>
      </c>
      <c r="J56" s="32">
        <f t="shared" si="7"/>
        <v>56.34</v>
      </c>
      <c r="K56" s="32">
        <f t="shared" si="7"/>
        <v>57.24</v>
      </c>
      <c r="L56" s="32">
        <f t="shared" si="7"/>
        <v>58.139999999999993</v>
      </c>
      <c r="M56" s="32">
        <f t="shared" si="7"/>
        <v>59.04</v>
      </c>
      <c r="N56" s="32">
        <f t="shared" si="7"/>
        <v>59.94</v>
      </c>
      <c r="O56" s="32">
        <f t="shared" si="7"/>
        <v>60.839999999999996</v>
      </c>
      <c r="P56" s="32">
        <f t="shared" si="7"/>
        <v>61.739999999999995</v>
      </c>
      <c r="Q56" s="32">
        <f t="shared" si="7"/>
        <v>62.639999999999993</v>
      </c>
      <c r="R56" s="32">
        <f t="shared" si="7"/>
        <v>63.54</v>
      </c>
      <c r="S56" s="32">
        <f t="shared" si="6"/>
        <v>64.44</v>
      </c>
      <c r="T56" s="186">
        <f t="shared" si="6"/>
        <v>65.34</v>
      </c>
      <c r="U56" s="32">
        <f t="shared" si="6"/>
        <v>66.239999999999995</v>
      </c>
      <c r="V56" s="32">
        <f t="shared" si="6"/>
        <v>67.14</v>
      </c>
      <c r="W56" s="32">
        <f t="shared" si="6"/>
        <v>68.039999999999992</v>
      </c>
      <c r="X56" s="32">
        <f t="shared" si="6"/>
        <v>68.94</v>
      </c>
      <c r="Y56" s="32">
        <f t="shared" si="6"/>
        <v>69.84</v>
      </c>
      <c r="Z56" s="32">
        <f t="shared" si="6"/>
        <v>70.739999999999995</v>
      </c>
      <c r="AA56" s="32">
        <f t="shared" si="3"/>
        <v>71.64</v>
      </c>
      <c r="AB56" s="32">
        <f t="shared" si="3"/>
        <v>72.539999999999992</v>
      </c>
      <c r="AC56" s="32">
        <f t="shared" si="3"/>
        <v>73.44</v>
      </c>
      <c r="AD56" s="32">
        <f t="shared" si="9"/>
        <v>74.34</v>
      </c>
      <c r="AE56" s="32">
        <f t="shared" si="9"/>
        <v>75.239999999999995</v>
      </c>
      <c r="AF56" s="32">
        <f t="shared" si="9"/>
        <v>76.14</v>
      </c>
      <c r="AG56" s="32">
        <f t="shared" si="9"/>
        <v>77.039999999999992</v>
      </c>
      <c r="AH56" s="32">
        <f t="shared" si="9"/>
        <v>77.94</v>
      </c>
      <c r="AI56" s="32">
        <f t="shared" si="9"/>
        <v>78.84</v>
      </c>
      <c r="AJ56" s="32">
        <f t="shared" si="9"/>
        <v>79.739999999999995</v>
      </c>
      <c r="AK56" s="32">
        <f t="shared" si="9"/>
        <v>80.64</v>
      </c>
      <c r="AL56" s="32">
        <f t="shared" si="9"/>
        <v>81.539999999999992</v>
      </c>
      <c r="AM56" s="32">
        <f t="shared" si="9"/>
        <v>82.44</v>
      </c>
      <c r="AN56" s="32">
        <f t="shared" si="9"/>
        <v>83.34</v>
      </c>
      <c r="AO56" s="32">
        <f t="shared" si="9"/>
        <v>84.24</v>
      </c>
      <c r="AP56" s="32">
        <f t="shared" si="9"/>
        <v>85.14</v>
      </c>
      <c r="AQ56" s="32">
        <f t="shared" si="9"/>
        <v>86.039999999999992</v>
      </c>
      <c r="AR56" s="32">
        <f t="shared" si="9"/>
        <v>86.94</v>
      </c>
      <c r="AS56" s="32">
        <f t="shared" si="9"/>
        <v>87.84</v>
      </c>
      <c r="AT56" s="32">
        <f t="shared" si="8"/>
        <v>88.74</v>
      </c>
      <c r="AU56" s="32">
        <f t="shared" si="8"/>
        <v>89.64</v>
      </c>
      <c r="AV56" s="32">
        <f t="shared" si="8"/>
        <v>90.539999999999992</v>
      </c>
      <c r="AW56" s="32">
        <f t="shared" si="8"/>
        <v>91.44</v>
      </c>
      <c r="AX56" s="32">
        <f t="shared" si="8"/>
        <v>92.34</v>
      </c>
      <c r="AY56" s="32">
        <f t="shared" si="8"/>
        <v>93.24</v>
      </c>
      <c r="AZ56" s="32">
        <f t="shared" si="8"/>
        <v>94.14</v>
      </c>
      <c r="BA56" s="16"/>
    </row>
    <row r="57" spans="1:53" hidden="1" x14ac:dyDescent="0.25">
      <c r="A57" s="16"/>
      <c r="B57" s="31">
        <v>57</v>
      </c>
      <c r="C57" s="32">
        <f t="shared" si="7"/>
        <v>50.13</v>
      </c>
      <c r="D57" s="32">
        <f t="shared" si="7"/>
        <v>51.03</v>
      </c>
      <c r="E57" s="32">
        <f t="shared" si="7"/>
        <v>51.930000000000007</v>
      </c>
      <c r="F57" s="32">
        <f t="shared" si="7"/>
        <v>52.830000000000005</v>
      </c>
      <c r="G57" s="32">
        <f t="shared" si="7"/>
        <v>53.730000000000004</v>
      </c>
      <c r="H57" s="32">
        <f t="shared" si="7"/>
        <v>54.63</v>
      </c>
      <c r="I57" s="32">
        <f t="shared" si="7"/>
        <v>55.53</v>
      </c>
      <c r="J57" s="32">
        <f t="shared" si="7"/>
        <v>56.430000000000007</v>
      </c>
      <c r="K57" s="32">
        <f t="shared" si="7"/>
        <v>57.330000000000005</v>
      </c>
      <c r="L57" s="32">
        <f t="shared" si="7"/>
        <v>58.230000000000004</v>
      </c>
      <c r="M57" s="32">
        <f t="shared" si="7"/>
        <v>59.13</v>
      </c>
      <c r="N57" s="32">
        <f t="shared" si="7"/>
        <v>60.03</v>
      </c>
      <c r="O57" s="32">
        <f t="shared" si="7"/>
        <v>60.930000000000007</v>
      </c>
      <c r="P57" s="32">
        <f t="shared" si="7"/>
        <v>61.830000000000005</v>
      </c>
      <c r="Q57" s="32">
        <f t="shared" si="7"/>
        <v>62.730000000000004</v>
      </c>
      <c r="R57" s="32">
        <f t="shared" ref="R57:AG72" si="10">(R$16-100+$B57/10)*0.9</f>
        <v>63.63</v>
      </c>
      <c r="S57" s="32">
        <f t="shared" si="10"/>
        <v>64.53</v>
      </c>
      <c r="T57" s="186">
        <f t="shared" si="10"/>
        <v>65.430000000000007</v>
      </c>
      <c r="U57" s="32">
        <f t="shared" si="10"/>
        <v>66.33</v>
      </c>
      <c r="V57" s="32">
        <f t="shared" si="10"/>
        <v>67.23</v>
      </c>
      <c r="W57" s="32">
        <f t="shared" si="10"/>
        <v>68.13000000000001</v>
      </c>
      <c r="X57" s="32">
        <f t="shared" si="10"/>
        <v>69.03</v>
      </c>
      <c r="Y57" s="32">
        <f t="shared" si="10"/>
        <v>69.930000000000007</v>
      </c>
      <c r="Z57" s="32">
        <f t="shared" si="10"/>
        <v>70.83</v>
      </c>
      <c r="AA57" s="32">
        <f t="shared" si="10"/>
        <v>71.73</v>
      </c>
      <c r="AB57" s="32">
        <f t="shared" si="10"/>
        <v>72.63000000000001</v>
      </c>
      <c r="AC57" s="32">
        <f t="shared" si="10"/>
        <v>73.53</v>
      </c>
      <c r="AD57" s="32">
        <f t="shared" si="10"/>
        <v>74.430000000000007</v>
      </c>
      <c r="AE57" s="32">
        <f t="shared" si="10"/>
        <v>75.33</v>
      </c>
      <c r="AF57" s="32">
        <f t="shared" si="10"/>
        <v>76.23</v>
      </c>
      <c r="AG57" s="32">
        <f t="shared" si="10"/>
        <v>77.13000000000001</v>
      </c>
      <c r="AH57" s="32">
        <f t="shared" si="9"/>
        <v>78.03</v>
      </c>
      <c r="AI57" s="32">
        <f t="shared" si="9"/>
        <v>78.930000000000007</v>
      </c>
      <c r="AJ57" s="32">
        <f t="shared" si="9"/>
        <v>79.83</v>
      </c>
      <c r="AK57" s="32">
        <f t="shared" si="9"/>
        <v>80.73</v>
      </c>
      <c r="AL57" s="32">
        <f t="shared" si="9"/>
        <v>81.63000000000001</v>
      </c>
      <c r="AM57" s="32">
        <f t="shared" si="9"/>
        <v>82.53</v>
      </c>
      <c r="AN57" s="32">
        <f t="shared" si="9"/>
        <v>83.43</v>
      </c>
      <c r="AO57" s="32">
        <f t="shared" si="9"/>
        <v>84.33</v>
      </c>
      <c r="AP57" s="32">
        <f t="shared" si="9"/>
        <v>85.23</v>
      </c>
      <c r="AQ57" s="32">
        <f t="shared" si="9"/>
        <v>86.13000000000001</v>
      </c>
      <c r="AR57" s="32">
        <f t="shared" si="9"/>
        <v>87.03</v>
      </c>
      <c r="AS57" s="32">
        <f t="shared" si="9"/>
        <v>87.93</v>
      </c>
      <c r="AT57" s="32">
        <f t="shared" si="8"/>
        <v>88.83</v>
      </c>
      <c r="AU57" s="32">
        <f t="shared" si="8"/>
        <v>89.73</v>
      </c>
      <c r="AV57" s="32">
        <f t="shared" si="8"/>
        <v>90.63000000000001</v>
      </c>
      <c r="AW57" s="32">
        <f t="shared" si="8"/>
        <v>91.53</v>
      </c>
      <c r="AX57" s="32">
        <f t="shared" si="8"/>
        <v>92.43</v>
      </c>
      <c r="AY57" s="32">
        <f t="shared" si="8"/>
        <v>93.33</v>
      </c>
      <c r="AZ57" s="32">
        <f t="shared" si="8"/>
        <v>94.23</v>
      </c>
      <c r="BA57" s="16"/>
    </row>
    <row r="58" spans="1:53" hidden="1" x14ac:dyDescent="0.25">
      <c r="A58" s="16"/>
      <c r="B58" s="31">
        <v>58</v>
      </c>
      <c r="C58" s="32">
        <f t="shared" ref="C58:R73" si="11">(C$16-100+$B58/10)*0.9</f>
        <v>50.22</v>
      </c>
      <c r="D58" s="32">
        <f t="shared" si="11"/>
        <v>51.12</v>
      </c>
      <c r="E58" s="32">
        <f t="shared" si="11"/>
        <v>52.019999999999996</v>
      </c>
      <c r="F58" s="32">
        <f t="shared" si="11"/>
        <v>52.92</v>
      </c>
      <c r="G58" s="32">
        <f t="shared" si="11"/>
        <v>53.82</v>
      </c>
      <c r="H58" s="32">
        <f t="shared" si="11"/>
        <v>54.72</v>
      </c>
      <c r="I58" s="32">
        <f t="shared" si="11"/>
        <v>55.62</v>
      </c>
      <c r="J58" s="32">
        <f t="shared" si="11"/>
        <v>56.519999999999996</v>
      </c>
      <c r="K58" s="32">
        <f t="shared" si="11"/>
        <v>57.42</v>
      </c>
      <c r="L58" s="32">
        <f t="shared" si="11"/>
        <v>58.32</v>
      </c>
      <c r="M58" s="32">
        <f t="shared" si="11"/>
        <v>59.22</v>
      </c>
      <c r="N58" s="32">
        <f t="shared" si="11"/>
        <v>60.12</v>
      </c>
      <c r="O58" s="32">
        <f t="shared" si="11"/>
        <v>61.019999999999996</v>
      </c>
      <c r="P58" s="32">
        <f t="shared" si="11"/>
        <v>61.92</v>
      </c>
      <c r="Q58" s="32">
        <f t="shared" si="11"/>
        <v>62.82</v>
      </c>
      <c r="R58" s="32">
        <f t="shared" si="11"/>
        <v>63.72</v>
      </c>
      <c r="S58" s="32">
        <f t="shared" si="10"/>
        <v>64.62</v>
      </c>
      <c r="T58" s="186">
        <f t="shared" si="10"/>
        <v>65.52</v>
      </c>
      <c r="U58" s="32">
        <f t="shared" si="10"/>
        <v>66.42</v>
      </c>
      <c r="V58" s="32">
        <f t="shared" si="10"/>
        <v>67.319999999999993</v>
      </c>
      <c r="W58" s="32">
        <f t="shared" si="10"/>
        <v>68.22</v>
      </c>
      <c r="X58" s="32">
        <f t="shared" si="10"/>
        <v>69.12</v>
      </c>
      <c r="Y58" s="32">
        <f t="shared" si="10"/>
        <v>70.02</v>
      </c>
      <c r="Z58" s="32">
        <f t="shared" si="10"/>
        <v>70.92</v>
      </c>
      <c r="AA58" s="32">
        <f t="shared" si="10"/>
        <v>71.819999999999993</v>
      </c>
      <c r="AB58" s="32">
        <f t="shared" si="10"/>
        <v>72.72</v>
      </c>
      <c r="AC58" s="32">
        <f t="shared" si="10"/>
        <v>73.62</v>
      </c>
      <c r="AD58" s="32">
        <f t="shared" si="10"/>
        <v>74.52</v>
      </c>
      <c r="AE58" s="32">
        <f t="shared" si="10"/>
        <v>75.42</v>
      </c>
      <c r="AF58" s="32">
        <f t="shared" si="10"/>
        <v>76.319999999999993</v>
      </c>
      <c r="AG58" s="32">
        <f t="shared" si="10"/>
        <v>77.22</v>
      </c>
      <c r="AH58" s="32">
        <f t="shared" si="9"/>
        <v>78.12</v>
      </c>
      <c r="AI58" s="32">
        <f t="shared" si="9"/>
        <v>79.02</v>
      </c>
      <c r="AJ58" s="32">
        <f t="shared" si="9"/>
        <v>79.92</v>
      </c>
      <c r="AK58" s="32">
        <f t="shared" si="9"/>
        <v>80.819999999999993</v>
      </c>
      <c r="AL58" s="32">
        <f t="shared" si="9"/>
        <v>81.72</v>
      </c>
      <c r="AM58" s="32">
        <f t="shared" si="9"/>
        <v>82.62</v>
      </c>
      <c r="AN58" s="32">
        <f t="shared" si="9"/>
        <v>83.52</v>
      </c>
      <c r="AO58" s="32">
        <f t="shared" si="9"/>
        <v>84.42</v>
      </c>
      <c r="AP58" s="32">
        <f t="shared" si="9"/>
        <v>85.32</v>
      </c>
      <c r="AQ58" s="32">
        <f t="shared" si="9"/>
        <v>86.22</v>
      </c>
      <c r="AR58" s="32">
        <f t="shared" si="9"/>
        <v>87.12</v>
      </c>
      <c r="AS58" s="32">
        <f t="shared" si="9"/>
        <v>88.02</v>
      </c>
      <c r="AT58" s="32">
        <f t="shared" si="8"/>
        <v>88.92</v>
      </c>
      <c r="AU58" s="32">
        <f t="shared" si="8"/>
        <v>89.82</v>
      </c>
      <c r="AV58" s="32">
        <f t="shared" si="8"/>
        <v>90.72</v>
      </c>
      <c r="AW58" s="32">
        <f t="shared" si="8"/>
        <v>91.62</v>
      </c>
      <c r="AX58" s="32">
        <f t="shared" si="8"/>
        <v>92.52</v>
      </c>
      <c r="AY58" s="32">
        <f t="shared" si="8"/>
        <v>93.42</v>
      </c>
      <c r="AZ58" s="32">
        <f t="shared" si="8"/>
        <v>94.32</v>
      </c>
      <c r="BA58" s="16"/>
    </row>
    <row r="59" spans="1:53" hidden="1" x14ac:dyDescent="0.25">
      <c r="A59" s="16"/>
      <c r="B59" s="31">
        <v>59</v>
      </c>
      <c r="C59" s="32">
        <f t="shared" si="11"/>
        <v>50.31</v>
      </c>
      <c r="D59" s="32">
        <f t="shared" si="11"/>
        <v>51.21</v>
      </c>
      <c r="E59" s="32">
        <f t="shared" si="11"/>
        <v>52.11</v>
      </c>
      <c r="F59" s="32">
        <f t="shared" si="11"/>
        <v>53.01</v>
      </c>
      <c r="G59" s="32">
        <f t="shared" si="11"/>
        <v>53.91</v>
      </c>
      <c r="H59" s="32">
        <f t="shared" si="11"/>
        <v>54.81</v>
      </c>
      <c r="I59" s="32">
        <f t="shared" si="11"/>
        <v>55.71</v>
      </c>
      <c r="J59" s="32">
        <f t="shared" si="11"/>
        <v>56.61</v>
      </c>
      <c r="K59" s="32">
        <f t="shared" si="11"/>
        <v>57.51</v>
      </c>
      <c r="L59" s="32">
        <f t="shared" si="11"/>
        <v>58.410000000000004</v>
      </c>
      <c r="M59" s="32">
        <f t="shared" si="11"/>
        <v>59.310000000000009</v>
      </c>
      <c r="N59" s="32">
        <f t="shared" si="11"/>
        <v>60.210000000000008</v>
      </c>
      <c r="O59" s="32">
        <f t="shared" si="11"/>
        <v>61.110000000000007</v>
      </c>
      <c r="P59" s="32">
        <f t="shared" si="11"/>
        <v>62.010000000000005</v>
      </c>
      <c r="Q59" s="32">
        <f t="shared" si="11"/>
        <v>62.910000000000004</v>
      </c>
      <c r="R59" s="32">
        <f t="shared" si="11"/>
        <v>63.810000000000009</v>
      </c>
      <c r="S59" s="32">
        <f t="shared" si="10"/>
        <v>64.710000000000008</v>
      </c>
      <c r="T59" s="186">
        <f t="shared" si="10"/>
        <v>65.610000000000014</v>
      </c>
      <c r="U59" s="32">
        <f t="shared" si="10"/>
        <v>66.510000000000005</v>
      </c>
      <c r="V59" s="32">
        <f t="shared" si="10"/>
        <v>67.410000000000011</v>
      </c>
      <c r="W59" s="32">
        <f t="shared" si="10"/>
        <v>68.31</v>
      </c>
      <c r="X59" s="32">
        <f t="shared" si="10"/>
        <v>69.210000000000008</v>
      </c>
      <c r="Y59" s="32">
        <f t="shared" si="10"/>
        <v>70.110000000000014</v>
      </c>
      <c r="Z59" s="32">
        <f t="shared" si="10"/>
        <v>71.010000000000005</v>
      </c>
      <c r="AA59" s="32">
        <f t="shared" si="10"/>
        <v>71.910000000000011</v>
      </c>
      <c r="AB59" s="32">
        <f t="shared" si="10"/>
        <v>72.81</v>
      </c>
      <c r="AC59" s="32">
        <f t="shared" si="10"/>
        <v>73.710000000000008</v>
      </c>
      <c r="AD59" s="32">
        <f t="shared" si="10"/>
        <v>74.610000000000014</v>
      </c>
      <c r="AE59" s="32">
        <f t="shared" si="10"/>
        <v>75.510000000000005</v>
      </c>
      <c r="AF59" s="32">
        <f t="shared" si="10"/>
        <v>76.410000000000011</v>
      </c>
      <c r="AG59" s="32">
        <f t="shared" si="10"/>
        <v>77.31</v>
      </c>
      <c r="AH59" s="32">
        <f t="shared" si="9"/>
        <v>78.210000000000008</v>
      </c>
      <c r="AI59" s="32">
        <f t="shared" si="9"/>
        <v>79.110000000000014</v>
      </c>
      <c r="AJ59" s="32">
        <f t="shared" si="9"/>
        <v>80.010000000000005</v>
      </c>
      <c r="AK59" s="32">
        <f t="shared" si="9"/>
        <v>80.910000000000011</v>
      </c>
      <c r="AL59" s="32">
        <f t="shared" si="9"/>
        <v>81.81</v>
      </c>
      <c r="AM59" s="32">
        <f t="shared" si="9"/>
        <v>82.710000000000008</v>
      </c>
      <c r="AN59" s="32">
        <f t="shared" si="9"/>
        <v>83.610000000000014</v>
      </c>
      <c r="AO59" s="32">
        <f t="shared" si="9"/>
        <v>84.51</v>
      </c>
      <c r="AP59" s="32">
        <f t="shared" si="9"/>
        <v>85.410000000000011</v>
      </c>
      <c r="AQ59" s="32">
        <f t="shared" si="9"/>
        <v>86.31</v>
      </c>
      <c r="AR59" s="32">
        <f t="shared" si="9"/>
        <v>87.210000000000008</v>
      </c>
      <c r="AS59" s="32">
        <f t="shared" si="9"/>
        <v>88.110000000000014</v>
      </c>
      <c r="AT59" s="32">
        <f t="shared" si="8"/>
        <v>89.01</v>
      </c>
      <c r="AU59" s="32">
        <f t="shared" si="8"/>
        <v>89.910000000000011</v>
      </c>
      <c r="AV59" s="32">
        <f t="shared" si="8"/>
        <v>90.81</v>
      </c>
      <c r="AW59" s="32">
        <f t="shared" si="8"/>
        <v>91.710000000000008</v>
      </c>
      <c r="AX59" s="32">
        <f t="shared" si="8"/>
        <v>92.610000000000014</v>
      </c>
      <c r="AY59" s="32">
        <f t="shared" si="8"/>
        <v>93.51</v>
      </c>
      <c r="AZ59" s="32">
        <f t="shared" si="8"/>
        <v>94.410000000000011</v>
      </c>
      <c r="BA59" s="16"/>
    </row>
    <row r="60" spans="1:53" hidden="1" x14ac:dyDescent="0.25">
      <c r="A60" s="16"/>
      <c r="B60" s="31">
        <v>60</v>
      </c>
      <c r="C60" s="32">
        <f t="shared" si="11"/>
        <v>50.4</v>
      </c>
      <c r="D60" s="32">
        <f t="shared" si="11"/>
        <v>51.300000000000004</v>
      </c>
      <c r="E60" s="32">
        <f t="shared" si="11"/>
        <v>52.2</v>
      </c>
      <c r="F60" s="32">
        <f t="shared" si="11"/>
        <v>53.1</v>
      </c>
      <c r="G60" s="32">
        <f t="shared" si="11"/>
        <v>54</v>
      </c>
      <c r="H60" s="32">
        <f t="shared" si="11"/>
        <v>54.9</v>
      </c>
      <c r="I60" s="32">
        <f t="shared" si="11"/>
        <v>55.800000000000004</v>
      </c>
      <c r="J60" s="32">
        <f t="shared" si="11"/>
        <v>56.7</v>
      </c>
      <c r="K60" s="32">
        <f t="shared" si="11"/>
        <v>57.6</v>
      </c>
      <c r="L60" s="32">
        <f t="shared" si="11"/>
        <v>58.5</v>
      </c>
      <c r="M60" s="32">
        <f t="shared" si="11"/>
        <v>59.4</v>
      </c>
      <c r="N60" s="32">
        <f t="shared" si="11"/>
        <v>60.300000000000004</v>
      </c>
      <c r="O60" s="32">
        <f t="shared" si="11"/>
        <v>61.2</v>
      </c>
      <c r="P60" s="32">
        <f t="shared" si="11"/>
        <v>62.1</v>
      </c>
      <c r="Q60" s="32">
        <f t="shared" si="11"/>
        <v>63</v>
      </c>
      <c r="R60" s="32">
        <f t="shared" si="11"/>
        <v>63.9</v>
      </c>
      <c r="S60" s="32">
        <f t="shared" si="10"/>
        <v>64.8</v>
      </c>
      <c r="T60" s="186">
        <f t="shared" si="10"/>
        <v>65.7</v>
      </c>
      <c r="U60" s="32">
        <f t="shared" si="10"/>
        <v>66.600000000000009</v>
      </c>
      <c r="V60" s="32">
        <f t="shared" si="10"/>
        <v>67.5</v>
      </c>
      <c r="W60" s="32">
        <f t="shared" si="10"/>
        <v>68.400000000000006</v>
      </c>
      <c r="X60" s="32">
        <f t="shared" si="10"/>
        <v>69.3</v>
      </c>
      <c r="Y60" s="32">
        <f t="shared" si="10"/>
        <v>70.2</v>
      </c>
      <c r="Z60" s="32">
        <f t="shared" si="10"/>
        <v>71.100000000000009</v>
      </c>
      <c r="AA60" s="32">
        <f t="shared" si="10"/>
        <v>72</v>
      </c>
      <c r="AB60" s="32">
        <f t="shared" si="10"/>
        <v>72.900000000000006</v>
      </c>
      <c r="AC60" s="32">
        <f t="shared" si="10"/>
        <v>73.8</v>
      </c>
      <c r="AD60" s="32">
        <f t="shared" si="10"/>
        <v>74.7</v>
      </c>
      <c r="AE60" s="32">
        <f t="shared" si="10"/>
        <v>75.600000000000009</v>
      </c>
      <c r="AF60" s="32">
        <f t="shared" si="10"/>
        <v>76.5</v>
      </c>
      <c r="AG60" s="32">
        <f t="shared" si="10"/>
        <v>77.400000000000006</v>
      </c>
      <c r="AH60" s="32">
        <f t="shared" si="9"/>
        <v>78.3</v>
      </c>
      <c r="AI60" s="32">
        <f t="shared" si="9"/>
        <v>79.2</v>
      </c>
      <c r="AJ60" s="32">
        <f t="shared" si="9"/>
        <v>80.100000000000009</v>
      </c>
      <c r="AK60" s="32">
        <f t="shared" si="9"/>
        <v>81</v>
      </c>
      <c r="AL60" s="32">
        <f t="shared" si="9"/>
        <v>81.900000000000006</v>
      </c>
      <c r="AM60" s="32">
        <f t="shared" si="9"/>
        <v>82.8</v>
      </c>
      <c r="AN60" s="32">
        <f t="shared" si="9"/>
        <v>83.7</v>
      </c>
      <c r="AO60" s="32">
        <f t="shared" si="9"/>
        <v>84.600000000000009</v>
      </c>
      <c r="AP60" s="32">
        <f t="shared" si="9"/>
        <v>85.5</v>
      </c>
      <c r="AQ60" s="32">
        <f t="shared" si="9"/>
        <v>86.4</v>
      </c>
      <c r="AR60" s="32">
        <f t="shared" si="9"/>
        <v>87.3</v>
      </c>
      <c r="AS60" s="32">
        <f t="shared" si="9"/>
        <v>88.2</v>
      </c>
      <c r="AT60" s="32">
        <f t="shared" ref="AT60:AZ61" si="12">(AT$16-100+$B60/10)*0.9</f>
        <v>89.100000000000009</v>
      </c>
      <c r="AU60" s="32">
        <f t="shared" si="12"/>
        <v>90</v>
      </c>
      <c r="AV60" s="32">
        <f t="shared" si="12"/>
        <v>90.9</v>
      </c>
      <c r="AW60" s="32">
        <f t="shared" si="12"/>
        <v>91.8</v>
      </c>
      <c r="AX60" s="32">
        <f t="shared" si="12"/>
        <v>92.7</v>
      </c>
      <c r="AY60" s="32">
        <f t="shared" si="12"/>
        <v>93.600000000000009</v>
      </c>
      <c r="AZ60" s="32">
        <f t="shared" si="12"/>
        <v>94.5</v>
      </c>
      <c r="BA60" s="16"/>
    </row>
    <row r="61" spans="1:53" hidden="1" x14ac:dyDescent="0.25">
      <c r="A61" s="16"/>
      <c r="B61" s="31">
        <v>61</v>
      </c>
      <c r="C61" s="32">
        <f t="shared" si="11"/>
        <v>50.49</v>
      </c>
      <c r="D61" s="32">
        <f t="shared" si="11"/>
        <v>51.39</v>
      </c>
      <c r="E61" s="32">
        <f t="shared" si="11"/>
        <v>52.29</v>
      </c>
      <c r="F61" s="32">
        <f t="shared" si="11"/>
        <v>53.190000000000005</v>
      </c>
      <c r="G61" s="32">
        <f t="shared" si="11"/>
        <v>54.09</v>
      </c>
      <c r="H61" s="32">
        <f t="shared" si="11"/>
        <v>54.99</v>
      </c>
      <c r="I61" s="32">
        <f t="shared" si="11"/>
        <v>55.89</v>
      </c>
      <c r="J61" s="32">
        <f t="shared" si="11"/>
        <v>56.79</v>
      </c>
      <c r="K61" s="32">
        <f t="shared" si="11"/>
        <v>57.69</v>
      </c>
      <c r="L61" s="32">
        <f t="shared" si="11"/>
        <v>58.589999999999996</v>
      </c>
      <c r="M61" s="32">
        <f t="shared" si="11"/>
        <v>59.489999999999995</v>
      </c>
      <c r="N61" s="32">
        <f t="shared" si="11"/>
        <v>60.389999999999993</v>
      </c>
      <c r="O61" s="32">
        <f t="shared" si="11"/>
        <v>61.29</v>
      </c>
      <c r="P61" s="32">
        <f t="shared" si="11"/>
        <v>62.19</v>
      </c>
      <c r="Q61" s="32">
        <f t="shared" si="11"/>
        <v>63.089999999999996</v>
      </c>
      <c r="R61" s="32">
        <f t="shared" si="11"/>
        <v>63.989999999999995</v>
      </c>
      <c r="S61" s="32">
        <f t="shared" si="10"/>
        <v>64.89</v>
      </c>
      <c r="T61" s="186">
        <f t="shared" si="10"/>
        <v>65.789999999999992</v>
      </c>
      <c r="U61" s="32">
        <f t="shared" si="10"/>
        <v>66.69</v>
      </c>
      <c r="V61" s="32">
        <f t="shared" si="10"/>
        <v>67.59</v>
      </c>
      <c r="W61" s="32">
        <f t="shared" si="10"/>
        <v>68.489999999999995</v>
      </c>
      <c r="X61" s="32">
        <f t="shared" si="10"/>
        <v>69.39</v>
      </c>
      <c r="Y61" s="32">
        <f t="shared" si="10"/>
        <v>70.289999999999992</v>
      </c>
      <c r="Z61" s="32">
        <f t="shared" si="10"/>
        <v>71.19</v>
      </c>
      <c r="AA61" s="32">
        <f t="shared" si="10"/>
        <v>72.09</v>
      </c>
      <c r="AB61" s="32">
        <f t="shared" si="10"/>
        <v>72.989999999999995</v>
      </c>
      <c r="AC61" s="32">
        <f t="shared" si="10"/>
        <v>73.89</v>
      </c>
      <c r="AD61" s="32">
        <f t="shared" si="10"/>
        <v>74.789999999999992</v>
      </c>
      <c r="AE61" s="32">
        <f t="shared" si="10"/>
        <v>75.69</v>
      </c>
      <c r="AF61" s="32">
        <f t="shared" si="10"/>
        <v>76.59</v>
      </c>
      <c r="AG61" s="32">
        <f t="shared" si="10"/>
        <v>77.489999999999995</v>
      </c>
      <c r="AH61" s="32">
        <f t="shared" si="9"/>
        <v>78.39</v>
      </c>
      <c r="AI61" s="32">
        <f t="shared" si="9"/>
        <v>79.289999999999992</v>
      </c>
      <c r="AJ61" s="32">
        <f t="shared" si="9"/>
        <v>80.19</v>
      </c>
      <c r="AK61" s="32">
        <f t="shared" si="9"/>
        <v>81.09</v>
      </c>
      <c r="AL61" s="32">
        <f t="shared" si="9"/>
        <v>81.99</v>
      </c>
      <c r="AM61" s="32">
        <f t="shared" si="9"/>
        <v>82.89</v>
      </c>
      <c r="AN61" s="32">
        <f t="shared" si="9"/>
        <v>83.789999999999992</v>
      </c>
      <c r="AO61" s="32">
        <f t="shared" si="9"/>
        <v>84.69</v>
      </c>
      <c r="AP61" s="32">
        <f t="shared" si="9"/>
        <v>85.59</v>
      </c>
      <c r="AQ61" s="32">
        <f t="shared" si="9"/>
        <v>86.49</v>
      </c>
      <c r="AR61" s="32">
        <f t="shared" si="9"/>
        <v>87.39</v>
      </c>
      <c r="AS61" s="32">
        <f t="shared" si="9"/>
        <v>88.289999999999992</v>
      </c>
      <c r="AT61" s="32">
        <f t="shared" si="12"/>
        <v>89.19</v>
      </c>
      <c r="AU61" s="32">
        <f t="shared" si="12"/>
        <v>90.09</v>
      </c>
      <c r="AV61" s="32">
        <f t="shared" si="12"/>
        <v>90.99</v>
      </c>
      <c r="AW61" s="32">
        <f t="shared" si="12"/>
        <v>91.89</v>
      </c>
      <c r="AX61" s="32">
        <f t="shared" si="12"/>
        <v>92.789999999999992</v>
      </c>
      <c r="AY61" s="32">
        <f t="shared" si="12"/>
        <v>93.69</v>
      </c>
      <c r="AZ61" s="32">
        <f t="shared" si="12"/>
        <v>94.59</v>
      </c>
      <c r="BA61" s="16"/>
    </row>
    <row r="62" spans="1:53" hidden="1" x14ac:dyDescent="0.25">
      <c r="A62" s="16"/>
      <c r="B62" s="31">
        <v>62</v>
      </c>
      <c r="C62" s="32">
        <f t="shared" si="11"/>
        <v>50.580000000000005</v>
      </c>
      <c r="D62" s="32">
        <f t="shared" si="11"/>
        <v>51.480000000000004</v>
      </c>
      <c r="E62" s="32">
        <f t="shared" si="11"/>
        <v>52.38</v>
      </c>
      <c r="F62" s="32">
        <f t="shared" si="11"/>
        <v>53.28</v>
      </c>
      <c r="G62" s="32">
        <f t="shared" si="11"/>
        <v>54.180000000000007</v>
      </c>
      <c r="H62" s="32">
        <f t="shared" si="11"/>
        <v>55.080000000000005</v>
      </c>
      <c r="I62" s="32">
        <f t="shared" si="11"/>
        <v>55.980000000000004</v>
      </c>
      <c r="J62" s="32">
        <f t="shared" si="11"/>
        <v>56.88</v>
      </c>
      <c r="K62" s="32">
        <f t="shared" si="11"/>
        <v>57.78</v>
      </c>
      <c r="L62" s="32">
        <f t="shared" si="11"/>
        <v>58.680000000000007</v>
      </c>
      <c r="M62" s="32">
        <f t="shared" si="11"/>
        <v>59.580000000000005</v>
      </c>
      <c r="N62" s="32">
        <f t="shared" si="11"/>
        <v>60.480000000000004</v>
      </c>
      <c r="O62" s="32">
        <f t="shared" si="11"/>
        <v>61.38</v>
      </c>
      <c r="P62" s="32">
        <f t="shared" si="11"/>
        <v>62.28</v>
      </c>
      <c r="Q62" s="32">
        <f t="shared" si="11"/>
        <v>63.180000000000007</v>
      </c>
      <c r="R62" s="32">
        <f t="shared" si="11"/>
        <v>64.08</v>
      </c>
      <c r="S62" s="32">
        <f t="shared" si="10"/>
        <v>64.98</v>
      </c>
      <c r="T62" s="186">
        <f t="shared" si="10"/>
        <v>65.88000000000001</v>
      </c>
      <c r="U62" s="32">
        <f t="shared" si="10"/>
        <v>66.78</v>
      </c>
      <c r="V62" s="32">
        <f t="shared" si="10"/>
        <v>67.680000000000007</v>
      </c>
      <c r="W62" s="32">
        <f t="shared" si="10"/>
        <v>68.58</v>
      </c>
      <c r="X62" s="32">
        <f t="shared" si="10"/>
        <v>69.48</v>
      </c>
      <c r="Y62" s="32">
        <f t="shared" si="10"/>
        <v>70.38000000000001</v>
      </c>
      <c r="Z62" s="32">
        <f t="shared" si="10"/>
        <v>71.28</v>
      </c>
      <c r="AA62" s="32">
        <f t="shared" si="10"/>
        <v>72.180000000000007</v>
      </c>
      <c r="AB62" s="32">
        <f t="shared" si="10"/>
        <v>73.08</v>
      </c>
      <c r="AC62" s="32">
        <f t="shared" si="10"/>
        <v>73.98</v>
      </c>
      <c r="AD62" s="32">
        <f t="shared" si="10"/>
        <v>74.88000000000001</v>
      </c>
      <c r="AE62" s="32">
        <f t="shared" si="10"/>
        <v>75.78</v>
      </c>
      <c r="AF62" s="32">
        <f t="shared" si="10"/>
        <v>76.680000000000007</v>
      </c>
      <c r="AG62" s="32">
        <f t="shared" si="10"/>
        <v>77.58</v>
      </c>
      <c r="AH62" s="32">
        <f t="shared" si="9"/>
        <v>78.48</v>
      </c>
      <c r="AI62" s="32">
        <f t="shared" si="9"/>
        <v>79.38000000000001</v>
      </c>
      <c r="AJ62" s="32">
        <f t="shared" si="9"/>
        <v>80.28</v>
      </c>
      <c r="AK62" s="32">
        <f t="shared" ref="AK62:AZ80" si="13">(AK$16-100+$B62/10)*0.9</f>
        <v>81.180000000000007</v>
      </c>
      <c r="AL62" s="32">
        <f t="shared" si="13"/>
        <v>82.08</v>
      </c>
      <c r="AM62" s="32">
        <f t="shared" si="13"/>
        <v>82.98</v>
      </c>
      <c r="AN62" s="32">
        <f t="shared" si="13"/>
        <v>83.88000000000001</v>
      </c>
      <c r="AO62" s="32">
        <f t="shared" si="13"/>
        <v>84.78</v>
      </c>
      <c r="AP62" s="32">
        <f t="shared" si="13"/>
        <v>85.68</v>
      </c>
      <c r="AQ62" s="32">
        <f t="shared" si="13"/>
        <v>86.58</v>
      </c>
      <c r="AR62" s="32">
        <f t="shared" si="13"/>
        <v>87.48</v>
      </c>
      <c r="AS62" s="32">
        <f t="shared" si="13"/>
        <v>88.38000000000001</v>
      </c>
      <c r="AT62" s="32">
        <f t="shared" si="13"/>
        <v>89.28</v>
      </c>
      <c r="AU62" s="32">
        <f t="shared" si="13"/>
        <v>90.18</v>
      </c>
      <c r="AV62" s="32">
        <f t="shared" si="13"/>
        <v>91.08</v>
      </c>
      <c r="AW62" s="32">
        <f t="shared" si="13"/>
        <v>91.98</v>
      </c>
      <c r="AX62" s="32">
        <f t="shared" si="13"/>
        <v>92.88000000000001</v>
      </c>
      <c r="AY62" s="32">
        <f t="shared" si="13"/>
        <v>93.78</v>
      </c>
      <c r="AZ62" s="32">
        <f t="shared" si="13"/>
        <v>94.68</v>
      </c>
      <c r="BA62" s="16"/>
    </row>
    <row r="63" spans="1:53" hidden="1" x14ac:dyDescent="0.25">
      <c r="A63" s="16"/>
      <c r="B63" s="31">
        <v>63</v>
      </c>
      <c r="C63" s="32">
        <f t="shared" si="11"/>
        <v>50.67</v>
      </c>
      <c r="D63" s="32">
        <f t="shared" si="11"/>
        <v>51.57</v>
      </c>
      <c r="E63" s="32">
        <f t="shared" si="11"/>
        <v>52.47</v>
      </c>
      <c r="F63" s="32">
        <f t="shared" si="11"/>
        <v>53.37</v>
      </c>
      <c r="G63" s="32">
        <f t="shared" si="11"/>
        <v>54.269999999999996</v>
      </c>
      <c r="H63" s="32">
        <f t="shared" si="11"/>
        <v>55.17</v>
      </c>
      <c r="I63" s="32">
        <f t="shared" si="11"/>
        <v>56.07</v>
      </c>
      <c r="J63" s="32">
        <f t="shared" si="11"/>
        <v>56.97</v>
      </c>
      <c r="K63" s="32">
        <f t="shared" si="11"/>
        <v>57.87</v>
      </c>
      <c r="L63" s="32">
        <f t="shared" si="11"/>
        <v>58.769999999999996</v>
      </c>
      <c r="M63" s="32">
        <f t="shared" si="11"/>
        <v>59.67</v>
      </c>
      <c r="N63" s="32">
        <f t="shared" si="11"/>
        <v>60.57</v>
      </c>
      <c r="O63" s="32">
        <f t="shared" si="11"/>
        <v>61.47</v>
      </c>
      <c r="P63" s="32">
        <f t="shared" si="11"/>
        <v>62.37</v>
      </c>
      <c r="Q63" s="32">
        <f t="shared" si="11"/>
        <v>63.269999999999996</v>
      </c>
      <c r="R63" s="32">
        <f t="shared" si="11"/>
        <v>64.17</v>
      </c>
      <c r="S63" s="32">
        <f t="shared" si="10"/>
        <v>65.069999999999993</v>
      </c>
      <c r="T63" s="186">
        <f t="shared" si="10"/>
        <v>65.97</v>
      </c>
      <c r="U63" s="32">
        <f t="shared" si="10"/>
        <v>66.87</v>
      </c>
      <c r="V63" s="32">
        <f t="shared" si="10"/>
        <v>67.77</v>
      </c>
      <c r="W63" s="32">
        <f t="shared" si="10"/>
        <v>68.67</v>
      </c>
      <c r="X63" s="32">
        <f t="shared" si="10"/>
        <v>69.569999999999993</v>
      </c>
      <c r="Y63" s="32">
        <f t="shared" si="10"/>
        <v>70.47</v>
      </c>
      <c r="Z63" s="32">
        <f t="shared" si="10"/>
        <v>71.37</v>
      </c>
      <c r="AA63" s="32">
        <f t="shared" si="10"/>
        <v>72.27</v>
      </c>
      <c r="AB63" s="32">
        <f t="shared" si="10"/>
        <v>73.17</v>
      </c>
      <c r="AC63" s="32">
        <f t="shared" si="10"/>
        <v>74.069999999999993</v>
      </c>
      <c r="AD63" s="32">
        <f t="shared" si="10"/>
        <v>74.97</v>
      </c>
      <c r="AE63" s="32">
        <f t="shared" si="10"/>
        <v>75.87</v>
      </c>
      <c r="AF63" s="32">
        <f t="shared" si="10"/>
        <v>76.77</v>
      </c>
      <c r="AG63" s="32">
        <f t="shared" si="10"/>
        <v>77.67</v>
      </c>
      <c r="AH63" s="32">
        <f t="shared" ref="AH63:AS80" si="14">(AH$16-100+$B63/10)*0.9</f>
        <v>78.569999999999993</v>
      </c>
      <c r="AI63" s="32">
        <f t="shared" si="14"/>
        <v>79.47</v>
      </c>
      <c r="AJ63" s="32">
        <f t="shared" si="14"/>
        <v>80.37</v>
      </c>
      <c r="AK63" s="32">
        <f t="shared" si="14"/>
        <v>81.27</v>
      </c>
      <c r="AL63" s="32">
        <f t="shared" si="14"/>
        <v>82.17</v>
      </c>
      <c r="AM63" s="32">
        <f t="shared" si="13"/>
        <v>83.07</v>
      </c>
      <c r="AN63" s="32">
        <f t="shared" si="13"/>
        <v>83.97</v>
      </c>
      <c r="AO63" s="32">
        <f t="shared" si="13"/>
        <v>84.87</v>
      </c>
      <c r="AP63" s="32">
        <f t="shared" si="13"/>
        <v>85.77</v>
      </c>
      <c r="AQ63" s="32">
        <f t="shared" si="13"/>
        <v>86.67</v>
      </c>
      <c r="AR63" s="32">
        <f t="shared" si="13"/>
        <v>87.57</v>
      </c>
      <c r="AS63" s="32">
        <f t="shared" si="13"/>
        <v>88.47</v>
      </c>
      <c r="AT63" s="32">
        <f t="shared" si="13"/>
        <v>89.37</v>
      </c>
      <c r="AU63" s="32">
        <f t="shared" si="13"/>
        <v>90.27</v>
      </c>
      <c r="AV63" s="32">
        <f t="shared" si="13"/>
        <v>91.17</v>
      </c>
      <c r="AW63" s="32">
        <f t="shared" si="13"/>
        <v>92.07</v>
      </c>
      <c r="AX63" s="32">
        <f t="shared" si="13"/>
        <v>92.97</v>
      </c>
      <c r="AY63" s="32">
        <f t="shared" si="13"/>
        <v>93.87</v>
      </c>
      <c r="AZ63" s="32">
        <f t="shared" si="13"/>
        <v>94.77</v>
      </c>
      <c r="BA63" s="16"/>
    </row>
    <row r="64" spans="1:53" hidden="1" x14ac:dyDescent="0.25">
      <c r="A64" s="16"/>
      <c r="B64" s="31">
        <v>64</v>
      </c>
      <c r="C64" s="32">
        <f t="shared" si="11"/>
        <v>50.76</v>
      </c>
      <c r="D64" s="32">
        <f t="shared" si="11"/>
        <v>51.66</v>
      </c>
      <c r="E64" s="32">
        <f t="shared" si="11"/>
        <v>52.56</v>
      </c>
      <c r="F64" s="32">
        <f t="shared" si="11"/>
        <v>53.46</v>
      </c>
      <c r="G64" s="32">
        <f t="shared" si="11"/>
        <v>54.36</v>
      </c>
      <c r="H64" s="32">
        <f t="shared" si="11"/>
        <v>55.26</v>
      </c>
      <c r="I64" s="32">
        <f t="shared" si="11"/>
        <v>56.16</v>
      </c>
      <c r="J64" s="32">
        <f t="shared" si="11"/>
        <v>57.06</v>
      </c>
      <c r="K64" s="32">
        <f t="shared" si="11"/>
        <v>57.960000000000008</v>
      </c>
      <c r="L64" s="32">
        <f t="shared" si="11"/>
        <v>58.860000000000007</v>
      </c>
      <c r="M64" s="32">
        <f t="shared" si="11"/>
        <v>59.760000000000005</v>
      </c>
      <c r="N64" s="32">
        <f t="shared" si="11"/>
        <v>60.660000000000004</v>
      </c>
      <c r="O64" s="32">
        <f t="shared" si="11"/>
        <v>61.560000000000009</v>
      </c>
      <c r="P64" s="32">
        <f t="shared" si="11"/>
        <v>62.460000000000008</v>
      </c>
      <c r="Q64" s="32">
        <f t="shared" si="11"/>
        <v>63.360000000000007</v>
      </c>
      <c r="R64" s="32">
        <f t="shared" si="11"/>
        <v>64.260000000000005</v>
      </c>
      <c r="S64" s="32">
        <f t="shared" si="10"/>
        <v>65.160000000000011</v>
      </c>
      <c r="T64" s="186">
        <f t="shared" si="10"/>
        <v>66.06</v>
      </c>
      <c r="U64" s="32">
        <f t="shared" si="10"/>
        <v>66.960000000000008</v>
      </c>
      <c r="V64" s="32">
        <f t="shared" si="10"/>
        <v>67.860000000000014</v>
      </c>
      <c r="W64" s="32">
        <f t="shared" si="10"/>
        <v>68.760000000000005</v>
      </c>
      <c r="X64" s="32">
        <f t="shared" si="10"/>
        <v>69.660000000000011</v>
      </c>
      <c r="Y64" s="32">
        <f t="shared" si="10"/>
        <v>70.56</v>
      </c>
      <c r="Z64" s="32">
        <f t="shared" si="10"/>
        <v>71.460000000000008</v>
      </c>
      <c r="AA64" s="32">
        <f t="shared" si="10"/>
        <v>72.360000000000014</v>
      </c>
      <c r="AB64" s="32">
        <f t="shared" si="10"/>
        <v>73.260000000000005</v>
      </c>
      <c r="AC64" s="32">
        <f t="shared" si="10"/>
        <v>74.160000000000011</v>
      </c>
      <c r="AD64" s="32">
        <f t="shared" si="10"/>
        <v>75.06</v>
      </c>
      <c r="AE64" s="32">
        <f t="shared" si="10"/>
        <v>75.960000000000008</v>
      </c>
      <c r="AF64" s="32">
        <f t="shared" si="10"/>
        <v>76.860000000000014</v>
      </c>
      <c r="AG64" s="32">
        <f t="shared" si="10"/>
        <v>77.760000000000005</v>
      </c>
      <c r="AH64" s="32">
        <f t="shared" si="14"/>
        <v>78.660000000000011</v>
      </c>
      <c r="AI64" s="32">
        <f t="shared" si="14"/>
        <v>79.56</v>
      </c>
      <c r="AJ64" s="32">
        <f t="shared" si="14"/>
        <v>80.460000000000008</v>
      </c>
      <c r="AK64" s="32">
        <f t="shared" si="14"/>
        <v>81.360000000000014</v>
      </c>
      <c r="AL64" s="32">
        <f t="shared" si="14"/>
        <v>82.26</v>
      </c>
      <c r="AM64" s="32">
        <f t="shared" si="13"/>
        <v>83.160000000000011</v>
      </c>
      <c r="AN64" s="32">
        <f t="shared" si="13"/>
        <v>84.06</v>
      </c>
      <c r="AO64" s="32">
        <f t="shared" si="13"/>
        <v>84.960000000000008</v>
      </c>
      <c r="AP64" s="32">
        <f t="shared" si="13"/>
        <v>85.860000000000014</v>
      </c>
      <c r="AQ64" s="32">
        <f t="shared" si="13"/>
        <v>86.76</v>
      </c>
      <c r="AR64" s="32">
        <f t="shared" si="13"/>
        <v>87.660000000000011</v>
      </c>
      <c r="AS64" s="32">
        <f t="shared" si="13"/>
        <v>88.56</v>
      </c>
      <c r="AT64" s="32">
        <f t="shared" si="13"/>
        <v>89.460000000000008</v>
      </c>
      <c r="AU64" s="32">
        <f t="shared" si="13"/>
        <v>90.360000000000014</v>
      </c>
      <c r="AV64" s="32">
        <f t="shared" si="13"/>
        <v>91.26</v>
      </c>
      <c r="AW64" s="32">
        <f t="shared" si="13"/>
        <v>92.160000000000011</v>
      </c>
      <c r="AX64" s="32">
        <f t="shared" si="13"/>
        <v>93.06</v>
      </c>
      <c r="AY64" s="32">
        <f t="shared" si="13"/>
        <v>93.960000000000008</v>
      </c>
      <c r="AZ64" s="32">
        <f t="shared" si="13"/>
        <v>94.860000000000014</v>
      </c>
      <c r="BA64" s="16"/>
    </row>
    <row r="65" spans="1:53" hidden="1" x14ac:dyDescent="0.25">
      <c r="A65" s="16"/>
      <c r="B65" s="31">
        <v>65</v>
      </c>
      <c r="C65" s="32">
        <f t="shared" si="11"/>
        <v>50.85</v>
      </c>
      <c r="D65" s="32">
        <f t="shared" si="11"/>
        <v>51.75</v>
      </c>
      <c r="E65" s="32">
        <f t="shared" si="11"/>
        <v>52.65</v>
      </c>
      <c r="F65" s="32">
        <f t="shared" si="11"/>
        <v>53.550000000000004</v>
      </c>
      <c r="G65" s="32">
        <f t="shared" si="11"/>
        <v>54.45</v>
      </c>
      <c r="H65" s="32">
        <f t="shared" si="11"/>
        <v>55.35</v>
      </c>
      <c r="I65" s="32">
        <f t="shared" si="11"/>
        <v>56.25</v>
      </c>
      <c r="J65" s="32">
        <f t="shared" si="11"/>
        <v>57.15</v>
      </c>
      <c r="K65" s="32">
        <f t="shared" si="11"/>
        <v>58.050000000000004</v>
      </c>
      <c r="L65" s="32">
        <f t="shared" si="11"/>
        <v>58.95</v>
      </c>
      <c r="M65" s="32">
        <f t="shared" si="11"/>
        <v>59.85</v>
      </c>
      <c r="N65" s="32">
        <f t="shared" si="11"/>
        <v>60.75</v>
      </c>
      <c r="O65" s="32">
        <f t="shared" si="11"/>
        <v>61.65</v>
      </c>
      <c r="P65" s="32">
        <f t="shared" si="11"/>
        <v>62.550000000000004</v>
      </c>
      <c r="Q65" s="32">
        <f t="shared" si="11"/>
        <v>63.45</v>
      </c>
      <c r="R65" s="32">
        <f t="shared" si="11"/>
        <v>64.350000000000009</v>
      </c>
      <c r="S65" s="32">
        <f t="shared" si="10"/>
        <v>65.25</v>
      </c>
      <c r="T65" s="186">
        <f t="shared" si="10"/>
        <v>66.150000000000006</v>
      </c>
      <c r="U65" s="32">
        <f t="shared" si="10"/>
        <v>67.05</v>
      </c>
      <c r="V65" s="32">
        <f t="shared" si="10"/>
        <v>67.95</v>
      </c>
      <c r="W65" s="32">
        <f t="shared" si="10"/>
        <v>68.850000000000009</v>
      </c>
      <c r="X65" s="32">
        <f t="shared" si="10"/>
        <v>69.75</v>
      </c>
      <c r="Y65" s="32">
        <f t="shared" si="10"/>
        <v>70.650000000000006</v>
      </c>
      <c r="Z65" s="32">
        <f t="shared" si="10"/>
        <v>71.55</v>
      </c>
      <c r="AA65" s="32">
        <f t="shared" si="10"/>
        <v>72.45</v>
      </c>
      <c r="AB65" s="32">
        <f t="shared" si="10"/>
        <v>73.350000000000009</v>
      </c>
      <c r="AC65" s="32">
        <f t="shared" si="10"/>
        <v>74.25</v>
      </c>
      <c r="AD65" s="32">
        <f t="shared" si="10"/>
        <v>75.150000000000006</v>
      </c>
      <c r="AE65" s="32">
        <f t="shared" si="10"/>
        <v>76.05</v>
      </c>
      <c r="AF65" s="32">
        <f t="shared" si="10"/>
        <v>76.95</v>
      </c>
      <c r="AG65" s="32">
        <f t="shared" si="10"/>
        <v>77.850000000000009</v>
      </c>
      <c r="AH65" s="32">
        <f t="shared" si="14"/>
        <v>78.75</v>
      </c>
      <c r="AI65" s="32">
        <f t="shared" si="14"/>
        <v>79.650000000000006</v>
      </c>
      <c r="AJ65" s="32">
        <f t="shared" si="14"/>
        <v>80.55</v>
      </c>
      <c r="AK65" s="32">
        <f t="shared" si="14"/>
        <v>81.45</v>
      </c>
      <c r="AL65" s="32">
        <f t="shared" si="14"/>
        <v>82.350000000000009</v>
      </c>
      <c r="AM65" s="32">
        <f t="shared" si="13"/>
        <v>83.25</v>
      </c>
      <c r="AN65" s="32">
        <f t="shared" si="13"/>
        <v>84.15</v>
      </c>
      <c r="AO65" s="32">
        <f t="shared" si="13"/>
        <v>85.05</v>
      </c>
      <c r="AP65" s="32">
        <f t="shared" si="13"/>
        <v>85.95</v>
      </c>
      <c r="AQ65" s="32">
        <f t="shared" si="13"/>
        <v>86.850000000000009</v>
      </c>
      <c r="AR65" s="32">
        <f t="shared" si="13"/>
        <v>87.75</v>
      </c>
      <c r="AS65" s="32">
        <f t="shared" si="13"/>
        <v>88.65</v>
      </c>
      <c r="AT65" s="32">
        <f t="shared" si="13"/>
        <v>89.55</v>
      </c>
      <c r="AU65" s="32">
        <f t="shared" si="13"/>
        <v>90.45</v>
      </c>
      <c r="AV65" s="32">
        <f t="shared" si="13"/>
        <v>91.350000000000009</v>
      </c>
      <c r="AW65" s="32">
        <f t="shared" si="13"/>
        <v>92.25</v>
      </c>
      <c r="AX65" s="32">
        <f t="shared" si="13"/>
        <v>93.15</v>
      </c>
      <c r="AY65" s="32">
        <f t="shared" si="13"/>
        <v>94.05</v>
      </c>
      <c r="AZ65" s="32">
        <f t="shared" si="13"/>
        <v>94.95</v>
      </c>
      <c r="BA65" s="16"/>
    </row>
    <row r="66" spans="1:53" hidden="1" x14ac:dyDescent="0.25">
      <c r="A66" s="16"/>
      <c r="B66" s="31">
        <v>66</v>
      </c>
      <c r="C66" s="32">
        <f t="shared" si="11"/>
        <v>50.940000000000005</v>
      </c>
      <c r="D66" s="32">
        <f t="shared" si="11"/>
        <v>51.84</v>
      </c>
      <c r="E66" s="32">
        <f t="shared" si="11"/>
        <v>52.74</v>
      </c>
      <c r="F66" s="32">
        <f t="shared" si="11"/>
        <v>53.64</v>
      </c>
      <c r="G66" s="32">
        <f t="shared" si="11"/>
        <v>54.54</v>
      </c>
      <c r="H66" s="32">
        <f t="shared" si="11"/>
        <v>55.440000000000005</v>
      </c>
      <c r="I66" s="32">
        <f t="shared" si="11"/>
        <v>56.34</v>
      </c>
      <c r="J66" s="32">
        <f t="shared" si="11"/>
        <v>57.24</v>
      </c>
      <c r="K66" s="32">
        <f t="shared" si="11"/>
        <v>58.139999999999993</v>
      </c>
      <c r="L66" s="32">
        <f t="shared" si="11"/>
        <v>59.04</v>
      </c>
      <c r="M66" s="32">
        <f t="shared" si="11"/>
        <v>59.94</v>
      </c>
      <c r="N66" s="32">
        <f t="shared" si="11"/>
        <v>60.839999999999996</v>
      </c>
      <c r="O66" s="32">
        <f t="shared" si="11"/>
        <v>61.739999999999995</v>
      </c>
      <c r="P66" s="32">
        <f t="shared" si="11"/>
        <v>62.639999999999993</v>
      </c>
      <c r="Q66" s="32">
        <f t="shared" si="11"/>
        <v>63.54</v>
      </c>
      <c r="R66" s="32">
        <f t="shared" si="11"/>
        <v>64.44</v>
      </c>
      <c r="S66" s="32">
        <f t="shared" si="10"/>
        <v>65.34</v>
      </c>
      <c r="T66" s="186">
        <f t="shared" si="10"/>
        <v>66.239999999999995</v>
      </c>
      <c r="U66" s="32">
        <f t="shared" si="10"/>
        <v>67.14</v>
      </c>
      <c r="V66" s="32">
        <f t="shared" si="10"/>
        <v>68.039999999999992</v>
      </c>
      <c r="W66" s="32">
        <f t="shared" si="10"/>
        <v>68.94</v>
      </c>
      <c r="X66" s="32">
        <f t="shared" si="10"/>
        <v>69.84</v>
      </c>
      <c r="Y66" s="32">
        <f t="shared" si="10"/>
        <v>70.739999999999995</v>
      </c>
      <c r="Z66" s="32">
        <f t="shared" si="10"/>
        <v>71.64</v>
      </c>
      <c r="AA66" s="32">
        <f t="shared" si="10"/>
        <v>72.539999999999992</v>
      </c>
      <c r="AB66" s="32">
        <f t="shared" si="10"/>
        <v>73.44</v>
      </c>
      <c r="AC66" s="32">
        <f t="shared" si="10"/>
        <v>74.34</v>
      </c>
      <c r="AD66" s="32">
        <f t="shared" si="10"/>
        <v>75.239999999999995</v>
      </c>
      <c r="AE66" s="32">
        <f t="shared" si="10"/>
        <v>76.14</v>
      </c>
      <c r="AF66" s="32">
        <f t="shared" si="10"/>
        <v>77.039999999999992</v>
      </c>
      <c r="AG66" s="32">
        <f t="shared" si="10"/>
        <v>77.94</v>
      </c>
      <c r="AH66" s="32">
        <f t="shared" si="14"/>
        <v>78.84</v>
      </c>
      <c r="AI66" s="32">
        <f t="shared" si="14"/>
        <v>79.739999999999995</v>
      </c>
      <c r="AJ66" s="32">
        <f t="shared" si="14"/>
        <v>80.64</v>
      </c>
      <c r="AK66" s="32">
        <f t="shared" si="14"/>
        <v>81.539999999999992</v>
      </c>
      <c r="AL66" s="32">
        <f t="shared" si="14"/>
        <v>82.44</v>
      </c>
      <c r="AM66" s="32">
        <f t="shared" si="14"/>
        <v>83.34</v>
      </c>
      <c r="AN66" s="32">
        <f t="shared" si="14"/>
        <v>84.24</v>
      </c>
      <c r="AO66" s="32">
        <f t="shared" si="14"/>
        <v>85.14</v>
      </c>
      <c r="AP66" s="32">
        <f t="shared" si="14"/>
        <v>86.039999999999992</v>
      </c>
      <c r="AQ66" s="32">
        <f t="shared" si="14"/>
        <v>86.94</v>
      </c>
      <c r="AR66" s="32">
        <f t="shared" si="14"/>
        <v>87.84</v>
      </c>
      <c r="AS66" s="32">
        <f t="shared" si="14"/>
        <v>88.74</v>
      </c>
      <c r="AT66" s="32">
        <f t="shared" si="13"/>
        <v>89.64</v>
      </c>
      <c r="AU66" s="32">
        <f t="shared" si="13"/>
        <v>90.539999999999992</v>
      </c>
      <c r="AV66" s="32">
        <f t="shared" si="13"/>
        <v>91.44</v>
      </c>
      <c r="AW66" s="32">
        <f t="shared" si="13"/>
        <v>92.34</v>
      </c>
      <c r="AX66" s="32">
        <f t="shared" si="13"/>
        <v>93.24</v>
      </c>
      <c r="AY66" s="32">
        <f t="shared" si="13"/>
        <v>94.14</v>
      </c>
      <c r="AZ66" s="32">
        <f t="shared" si="13"/>
        <v>95.039999999999992</v>
      </c>
      <c r="BA66" s="16"/>
    </row>
    <row r="67" spans="1:53" hidden="1" x14ac:dyDescent="0.25">
      <c r="A67" s="16"/>
      <c r="B67" s="31">
        <v>67</v>
      </c>
      <c r="C67" s="32">
        <f t="shared" si="11"/>
        <v>51.03</v>
      </c>
      <c r="D67" s="32">
        <f t="shared" si="11"/>
        <v>51.930000000000007</v>
      </c>
      <c r="E67" s="32">
        <f t="shared" si="11"/>
        <v>52.830000000000005</v>
      </c>
      <c r="F67" s="32">
        <f t="shared" si="11"/>
        <v>53.730000000000004</v>
      </c>
      <c r="G67" s="32">
        <f t="shared" si="11"/>
        <v>54.63</v>
      </c>
      <c r="H67" s="32">
        <f t="shared" si="11"/>
        <v>55.53</v>
      </c>
      <c r="I67" s="32">
        <f t="shared" si="11"/>
        <v>56.430000000000007</v>
      </c>
      <c r="J67" s="32">
        <f t="shared" si="11"/>
        <v>57.330000000000005</v>
      </c>
      <c r="K67" s="32">
        <f t="shared" si="11"/>
        <v>58.230000000000004</v>
      </c>
      <c r="L67" s="32">
        <f t="shared" si="11"/>
        <v>59.13</v>
      </c>
      <c r="M67" s="32">
        <f t="shared" si="11"/>
        <v>60.03</v>
      </c>
      <c r="N67" s="32">
        <f t="shared" si="11"/>
        <v>60.930000000000007</v>
      </c>
      <c r="O67" s="32">
        <f t="shared" si="11"/>
        <v>61.830000000000005</v>
      </c>
      <c r="P67" s="32">
        <f t="shared" si="11"/>
        <v>62.730000000000004</v>
      </c>
      <c r="Q67" s="32">
        <f t="shared" si="11"/>
        <v>63.63</v>
      </c>
      <c r="R67" s="32">
        <f t="shared" si="11"/>
        <v>64.53</v>
      </c>
      <c r="S67" s="32">
        <f t="shared" si="10"/>
        <v>65.430000000000007</v>
      </c>
      <c r="T67" s="186">
        <f t="shared" si="10"/>
        <v>66.33</v>
      </c>
      <c r="U67" s="32">
        <f t="shared" si="10"/>
        <v>67.23</v>
      </c>
      <c r="V67" s="32">
        <f t="shared" si="10"/>
        <v>68.13000000000001</v>
      </c>
      <c r="W67" s="32">
        <f t="shared" si="10"/>
        <v>69.03</v>
      </c>
      <c r="X67" s="32">
        <f t="shared" si="10"/>
        <v>69.930000000000007</v>
      </c>
      <c r="Y67" s="32">
        <f t="shared" si="10"/>
        <v>70.83</v>
      </c>
      <c r="Z67" s="32">
        <f t="shared" si="10"/>
        <v>71.73</v>
      </c>
      <c r="AA67" s="32">
        <f t="shared" si="10"/>
        <v>72.63000000000001</v>
      </c>
      <c r="AB67" s="32">
        <f t="shared" si="10"/>
        <v>73.53</v>
      </c>
      <c r="AC67" s="32">
        <f t="shared" si="10"/>
        <v>74.430000000000007</v>
      </c>
      <c r="AD67" s="32">
        <f t="shared" si="10"/>
        <v>75.33</v>
      </c>
      <c r="AE67" s="32">
        <f t="shared" si="10"/>
        <v>76.23</v>
      </c>
      <c r="AF67" s="32">
        <f t="shared" si="10"/>
        <v>77.13000000000001</v>
      </c>
      <c r="AG67" s="32">
        <f t="shared" si="10"/>
        <v>78.03</v>
      </c>
      <c r="AH67" s="32">
        <f t="shared" si="14"/>
        <v>78.930000000000007</v>
      </c>
      <c r="AI67" s="32">
        <f t="shared" si="14"/>
        <v>79.83</v>
      </c>
      <c r="AJ67" s="32">
        <f t="shared" si="14"/>
        <v>80.73</v>
      </c>
      <c r="AK67" s="32">
        <f t="shared" si="14"/>
        <v>81.63000000000001</v>
      </c>
      <c r="AL67" s="32">
        <f t="shared" si="14"/>
        <v>82.53</v>
      </c>
      <c r="AM67" s="32">
        <f t="shared" si="13"/>
        <v>83.43</v>
      </c>
      <c r="AN67" s="32">
        <f t="shared" si="13"/>
        <v>84.33</v>
      </c>
      <c r="AO67" s="32">
        <f t="shared" si="13"/>
        <v>85.23</v>
      </c>
      <c r="AP67" s="32">
        <f t="shared" si="13"/>
        <v>86.13000000000001</v>
      </c>
      <c r="AQ67" s="32">
        <f t="shared" si="13"/>
        <v>87.03</v>
      </c>
      <c r="AR67" s="32">
        <f t="shared" si="13"/>
        <v>87.93</v>
      </c>
      <c r="AS67" s="32">
        <f t="shared" si="13"/>
        <v>88.83</v>
      </c>
      <c r="AT67" s="32">
        <f t="shared" si="13"/>
        <v>89.73</v>
      </c>
      <c r="AU67" s="32">
        <f t="shared" si="13"/>
        <v>90.63000000000001</v>
      </c>
      <c r="AV67" s="32">
        <f t="shared" si="13"/>
        <v>91.53</v>
      </c>
      <c r="AW67" s="32">
        <f t="shared" si="13"/>
        <v>92.43</v>
      </c>
      <c r="AX67" s="32">
        <f t="shared" si="13"/>
        <v>93.33</v>
      </c>
      <c r="AY67" s="32">
        <f t="shared" si="13"/>
        <v>94.23</v>
      </c>
      <c r="AZ67" s="32">
        <f t="shared" si="13"/>
        <v>95.13000000000001</v>
      </c>
      <c r="BA67" s="16"/>
    </row>
    <row r="68" spans="1:53" hidden="1" x14ac:dyDescent="0.25">
      <c r="A68" s="16"/>
      <c r="B68" s="31">
        <v>68</v>
      </c>
      <c r="C68" s="32">
        <f t="shared" si="11"/>
        <v>51.12</v>
      </c>
      <c r="D68" s="32">
        <f t="shared" si="11"/>
        <v>52.019999999999996</v>
      </c>
      <c r="E68" s="32">
        <f t="shared" si="11"/>
        <v>52.92</v>
      </c>
      <c r="F68" s="32">
        <f t="shared" si="11"/>
        <v>53.82</v>
      </c>
      <c r="G68" s="32">
        <f t="shared" si="11"/>
        <v>54.72</v>
      </c>
      <c r="H68" s="32">
        <f t="shared" si="11"/>
        <v>55.62</v>
      </c>
      <c r="I68" s="32">
        <f t="shared" si="11"/>
        <v>56.519999999999996</v>
      </c>
      <c r="J68" s="32">
        <f t="shared" si="11"/>
        <v>57.42</v>
      </c>
      <c r="K68" s="32">
        <f t="shared" si="11"/>
        <v>58.32</v>
      </c>
      <c r="L68" s="32">
        <f t="shared" si="11"/>
        <v>59.22</v>
      </c>
      <c r="M68" s="32">
        <f t="shared" si="11"/>
        <v>60.12</v>
      </c>
      <c r="N68" s="32">
        <f t="shared" si="11"/>
        <v>61.019999999999996</v>
      </c>
      <c r="O68" s="32">
        <f t="shared" si="11"/>
        <v>61.92</v>
      </c>
      <c r="P68" s="32">
        <f t="shared" si="11"/>
        <v>62.82</v>
      </c>
      <c r="Q68" s="32">
        <f t="shared" si="11"/>
        <v>63.72</v>
      </c>
      <c r="R68" s="32">
        <f t="shared" si="11"/>
        <v>64.62</v>
      </c>
      <c r="S68" s="32">
        <f t="shared" si="10"/>
        <v>65.52</v>
      </c>
      <c r="T68" s="186">
        <f t="shared" si="10"/>
        <v>66.42</v>
      </c>
      <c r="U68" s="32">
        <f t="shared" si="10"/>
        <v>67.319999999999993</v>
      </c>
      <c r="V68" s="32">
        <f t="shared" si="10"/>
        <v>68.22</v>
      </c>
      <c r="W68" s="32">
        <f t="shared" si="10"/>
        <v>69.12</v>
      </c>
      <c r="X68" s="32">
        <f t="shared" si="10"/>
        <v>70.02</v>
      </c>
      <c r="Y68" s="32">
        <f t="shared" si="10"/>
        <v>70.92</v>
      </c>
      <c r="Z68" s="32">
        <f t="shared" si="10"/>
        <v>71.819999999999993</v>
      </c>
      <c r="AA68" s="32">
        <f t="shared" si="10"/>
        <v>72.72</v>
      </c>
      <c r="AB68" s="32">
        <f t="shared" si="10"/>
        <v>73.62</v>
      </c>
      <c r="AC68" s="32">
        <f t="shared" si="10"/>
        <v>74.52</v>
      </c>
      <c r="AD68" s="32">
        <f t="shared" si="10"/>
        <v>75.42</v>
      </c>
      <c r="AE68" s="32">
        <f t="shared" si="10"/>
        <v>76.319999999999993</v>
      </c>
      <c r="AF68" s="32">
        <f t="shared" si="10"/>
        <v>77.22</v>
      </c>
      <c r="AG68" s="32">
        <f t="shared" si="10"/>
        <v>78.12</v>
      </c>
      <c r="AH68" s="32">
        <f t="shared" si="14"/>
        <v>79.02</v>
      </c>
      <c r="AI68" s="32">
        <f t="shared" si="14"/>
        <v>79.92</v>
      </c>
      <c r="AJ68" s="32">
        <f t="shared" si="14"/>
        <v>80.819999999999993</v>
      </c>
      <c r="AK68" s="32">
        <f t="shared" si="14"/>
        <v>81.72</v>
      </c>
      <c r="AL68" s="32">
        <f t="shared" si="14"/>
        <v>82.62</v>
      </c>
      <c r="AM68" s="32">
        <f t="shared" si="13"/>
        <v>83.52</v>
      </c>
      <c r="AN68" s="32">
        <f t="shared" si="13"/>
        <v>84.42</v>
      </c>
      <c r="AO68" s="32">
        <f t="shared" si="13"/>
        <v>85.32</v>
      </c>
      <c r="AP68" s="32">
        <f t="shared" si="13"/>
        <v>86.22</v>
      </c>
      <c r="AQ68" s="32">
        <f t="shared" si="13"/>
        <v>87.12</v>
      </c>
      <c r="AR68" s="32">
        <f t="shared" si="13"/>
        <v>88.02</v>
      </c>
      <c r="AS68" s="32">
        <f t="shared" si="13"/>
        <v>88.92</v>
      </c>
      <c r="AT68" s="32">
        <f t="shared" si="13"/>
        <v>89.82</v>
      </c>
      <c r="AU68" s="32">
        <f t="shared" si="13"/>
        <v>90.72</v>
      </c>
      <c r="AV68" s="32">
        <f t="shared" si="13"/>
        <v>91.62</v>
      </c>
      <c r="AW68" s="32">
        <f t="shared" si="13"/>
        <v>92.52</v>
      </c>
      <c r="AX68" s="32">
        <f t="shared" si="13"/>
        <v>93.42</v>
      </c>
      <c r="AY68" s="32">
        <f t="shared" si="13"/>
        <v>94.32</v>
      </c>
      <c r="AZ68" s="32">
        <f t="shared" si="13"/>
        <v>95.22</v>
      </c>
      <c r="BA68" s="16"/>
    </row>
    <row r="69" spans="1:53" hidden="1" x14ac:dyDescent="0.25">
      <c r="A69" s="16"/>
      <c r="B69" s="31">
        <v>69</v>
      </c>
      <c r="C69" s="32">
        <f t="shared" si="11"/>
        <v>51.21</v>
      </c>
      <c r="D69" s="32">
        <f t="shared" si="11"/>
        <v>52.11</v>
      </c>
      <c r="E69" s="32">
        <f t="shared" si="11"/>
        <v>53.01</v>
      </c>
      <c r="F69" s="32">
        <f t="shared" si="11"/>
        <v>53.91</v>
      </c>
      <c r="G69" s="32">
        <f t="shared" si="11"/>
        <v>54.81</v>
      </c>
      <c r="H69" s="32">
        <f t="shared" si="11"/>
        <v>55.71</v>
      </c>
      <c r="I69" s="32">
        <f t="shared" si="11"/>
        <v>56.61</v>
      </c>
      <c r="J69" s="32">
        <f t="shared" si="11"/>
        <v>57.51</v>
      </c>
      <c r="K69" s="32">
        <f t="shared" si="11"/>
        <v>58.410000000000004</v>
      </c>
      <c r="L69" s="32">
        <f t="shared" si="11"/>
        <v>59.310000000000009</v>
      </c>
      <c r="M69" s="32">
        <f t="shared" si="11"/>
        <v>60.210000000000008</v>
      </c>
      <c r="N69" s="32">
        <f t="shared" si="11"/>
        <v>61.110000000000007</v>
      </c>
      <c r="O69" s="32">
        <f t="shared" si="11"/>
        <v>62.010000000000005</v>
      </c>
      <c r="P69" s="32">
        <f t="shared" si="11"/>
        <v>62.910000000000004</v>
      </c>
      <c r="Q69" s="32">
        <f t="shared" si="11"/>
        <v>63.810000000000009</v>
      </c>
      <c r="R69" s="32">
        <f t="shared" si="11"/>
        <v>64.710000000000008</v>
      </c>
      <c r="S69" s="32">
        <f t="shared" si="10"/>
        <v>65.610000000000014</v>
      </c>
      <c r="T69" s="186">
        <f t="shared" si="10"/>
        <v>66.510000000000005</v>
      </c>
      <c r="U69" s="32">
        <f t="shared" si="10"/>
        <v>67.410000000000011</v>
      </c>
      <c r="V69" s="32">
        <f t="shared" si="10"/>
        <v>68.31</v>
      </c>
      <c r="W69" s="32">
        <f t="shared" si="10"/>
        <v>69.210000000000008</v>
      </c>
      <c r="X69" s="32">
        <f t="shared" si="10"/>
        <v>70.110000000000014</v>
      </c>
      <c r="Y69" s="32">
        <f t="shared" si="10"/>
        <v>71.010000000000005</v>
      </c>
      <c r="Z69" s="32">
        <f t="shared" si="10"/>
        <v>71.910000000000011</v>
      </c>
      <c r="AA69" s="32">
        <f t="shared" si="10"/>
        <v>72.81</v>
      </c>
      <c r="AB69" s="32">
        <f t="shared" si="10"/>
        <v>73.710000000000008</v>
      </c>
      <c r="AC69" s="32">
        <f t="shared" si="10"/>
        <v>74.610000000000014</v>
      </c>
      <c r="AD69" s="32">
        <f t="shared" si="10"/>
        <v>75.510000000000005</v>
      </c>
      <c r="AE69" s="32">
        <f t="shared" si="10"/>
        <v>76.410000000000011</v>
      </c>
      <c r="AF69" s="32">
        <f t="shared" si="10"/>
        <v>77.31</v>
      </c>
      <c r="AG69" s="32">
        <f t="shared" si="10"/>
        <v>78.210000000000008</v>
      </c>
      <c r="AH69" s="32">
        <f t="shared" si="14"/>
        <v>79.110000000000014</v>
      </c>
      <c r="AI69" s="32">
        <f t="shared" si="14"/>
        <v>80.010000000000005</v>
      </c>
      <c r="AJ69" s="32">
        <f t="shared" si="14"/>
        <v>80.910000000000011</v>
      </c>
      <c r="AK69" s="32">
        <f t="shared" si="14"/>
        <v>81.81</v>
      </c>
      <c r="AL69" s="32">
        <f t="shared" si="14"/>
        <v>82.710000000000008</v>
      </c>
      <c r="AM69" s="32">
        <f t="shared" si="13"/>
        <v>83.610000000000014</v>
      </c>
      <c r="AN69" s="32">
        <f t="shared" si="13"/>
        <v>84.51</v>
      </c>
      <c r="AO69" s="32">
        <f t="shared" si="13"/>
        <v>85.410000000000011</v>
      </c>
      <c r="AP69" s="32">
        <f t="shared" si="13"/>
        <v>86.31</v>
      </c>
      <c r="AQ69" s="32">
        <f t="shared" si="13"/>
        <v>87.210000000000008</v>
      </c>
      <c r="AR69" s="32">
        <f t="shared" si="13"/>
        <v>88.110000000000014</v>
      </c>
      <c r="AS69" s="32">
        <f t="shared" si="13"/>
        <v>89.01</v>
      </c>
      <c r="AT69" s="32">
        <f t="shared" si="13"/>
        <v>89.910000000000011</v>
      </c>
      <c r="AU69" s="32">
        <f t="shared" si="13"/>
        <v>90.81</v>
      </c>
      <c r="AV69" s="32">
        <f t="shared" si="13"/>
        <v>91.710000000000008</v>
      </c>
      <c r="AW69" s="32">
        <f t="shared" si="13"/>
        <v>92.610000000000014</v>
      </c>
      <c r="AX69" s="32">
        <f t="shared" si="13"/>
        <v>93.51</v>
      </c>
      <c r="AY69" s="32">
        <f t="shared" si="13"/>
        <v>94.410000000000011</v>
      </c>
      <c r="AZ69" s="32">
        <f t="shared" si="13"/>
        <v>95.31</v>
      </c>
      <c r="BA69" s="16"/>
    </row>
    <row r="70" spans="1:53" hidden="1" x14ac:dyDescent="0.25">
      <c r="A70" s="16"/>
      <c r="B70" s="31">
        <v>70</v>
      </c>
      <c r="C70" s="32">
        <f t="shared" si="11"/>
        <v>51.300000000000004</v>
      </c>
      <c r="D70" s="32">
        <f t="shared" si="11"/>
        <v>52.2</v>
      </c>
      <c r="E70" s="32">
        <f t="shared" si="11"/>
        <v>53.1</v>
      </c>
      <c r="F70" s="32">
        <f t="shared" si="11"/>
        <v>54</v>
      </c>
      <c r="G70" s="32">
        <f t="shared" si="11"/>
        <v>54.9</v>
      </c>
      <c r="H70" s="32">
        <f t="shared" si="11"/>
        <v>55.800000000000004</v>
      </c>
      <c r="I70" s="32">
        <f t="shared" si="11"/>
        <v>56.7</v>
      </c>
      <c r="J70" s="32">
        <f t="shared" si="11"/>
        <v>57.6</v>
      </c>
      <c r="K70" s="32">
        <f t="shared" si="11"/>
        <v>58.5</v>
      </c>
      <c r="L70" s="32">
        <f t="shared" si="11"/>
        <v>59.4</v>
      </c>
      <c r="M70" s="32">
        <f t="shared" si="11"/>
        <v>60.300000000000004</v>
      </c>
      <c r="N70" s="32">
        <f t="shared" si="11"/>
        <v>61.2</v>
      </c>
      <c r="O70" s="32">
        <f t="shared" si="11"/>
        <v>62.1</v>
      </c>
      <c r="P70" s="32">
        <f t="shared" si="11"/>
        <v>63</v>
      </c>
      <c r="Q70" s="32">
        <f t="shared" si="11"/>
        <v>63.9</v>
      </c>
      <c r="R70" s="32">
        <f t="shared" si="11"/>
        <v>64.8</v>
      </c>
      <c r="S70" s="32">
        <f t="shared" si="10"/>
        <v>65.7</v>
      </c>
      <c r="T70" s="186">
        <f t="shared" si="10"/>
        <v>66.600000000000009</v>
      </c>
      <c r="U70" s="32">
        <f t="shared" si="10"/>
        <v>67.5</v>
      </c>
      <c r="V70" s="32">
        <f t="shared" si="10"/>
        <v>68.400000000000006</v>
      </c>
      <c r="W70" s="32">
        <f t="shared" si="10"/>
        <v>69.3</v>
      </c>
      <c r="X70" s="32">
        <f t="shared" si="10"/>
        <v>70.2</v>
      </c>
      <c r="Y70" s="32">
        <f t="shared" si="10"/>
        <v>71.100000000000009</v>
      </c>
      <c r="Z70" s="32">
        <f t="shared" si="10"/>
        <v>72</v>
      </c>
      <c r="AA70" s="32">
        <f t="shared" si="10"/>
        <v>72.900000000000006</v>
      </c>
      <c r="AB70" s="32">
        <f t="shared" si="10"/>
        <v>73.8</v>
      </c>
      <c r="AC70" s="32">
        <f t="shared" si="10"/>
        <v>74.7</v>
      </c>
      <c r="AD70" s="32">
        <f t="shared" si="10"/>
        <v>75.600000000000009</v>
      </c>
      <c r="AE70" s="32">
        <f t="shared" si="10"/>
        <v>76.5</v>
      </c>
      <c r="AF70" s="32">
        <f t="shared" si="10"/>
        <v>77.400000000000006</v>
      </c>
      <c r="AG70" s="32">
        <f t="shared" si="10"/>
        <v>78.3</v>
      </c>
      <c r="AH70" s="32">
        <f t="shared" si="14"/>
        <v>79.2</v>
      </c>
      <c r="AI70" s="32">
        <f t="shared" si="14"/>
        <v>80.100000000000009</v>
      </c>
      <c r="AJ70" s="32">
        <f t="shared" si="14"/>
        <v>81</v>
      </c>
      <c r="AK70" s="32">
        <f t="shared" si="14"/>
        <v>81.900000000000006</v>
      </c>
      <c r="AL70" s="32">
        <f t="shared" si="14"/>
        <v>82.8</v>
      </c>
      <c r="AM70" s="32">
        <f t="shared" si="13"/>
        <v>83.7</v>
      </c>
      <c r="AN70" s="32">
        <f t="shared" si="13"/>
        <v>84.600000000000009</v>
      </c>
      <c r="AO70" s="32">
        <f t="shared" si="13"/>
        <v>85.5</v>
      </c>
      <c r="AP70" s="32">
        <f t="shared" si="13"/>
        <v>86.4</v>
      </c>
      <c r="AQ70" s="32">
        <f t="shared" si="13"/>
        <v>87.3</v>
      </c>
      <c r="AR70" s="32">
        <f t="shared" si="13"/>
        <v>88.2</v>
      </c>
      <c r="AS70" s="32">
        <f t="shared" si="13"/>
        <v>89.100000000000009</v>
      </c>
      <c r="AT70" s="32">
        <f t="shared" si="13"/>
        <v>90</v>
      </c>
      <c r="AU70" s="32">
        <f t="shared" si="13"/>
        <v>90.9</v>
      </c>
      <c r="AV70" s="32">
        <f t="shared" si="13"/>
        <v>91.8</v>
      </c>
      <c r="AW70" s="32">
        <f t="shared" si="13"/>
        <v>92.7</v>
      </c>
      <c r="AX70" s="32">
        <f t="shared" si="13"/>
        <v>93.600000000000009</v>
      </c>
      <c r="AY70" s="32">
        <f t="shared" si="13"/>
        <v>94.5</v>
      </c>
      <c r="AZ70" s="32">
        <f t="shared" si="13"/>
        <v>95.4</v>
      </c>
      <c r="BA70" s="16"/>
    </row>
    <row r="71" spans="1:53" hidden="1" x14ac:dyDescent="0.25">
      <c r="A71" s="16"/>
      <c r="B71" s="31">
        <v>71</v>
      </c>
      <c r="C71" s="32">
        <f t="shared" si="11"/>
        <v>51.39</v>
      </c>
      <c r="D71" s="32">
        <f t="shared" si="11"/>
        <v>52.29</v>
      </c>
      <c r="E71" s="32">
        <f t="shared" si="11"/>
        <v>53.190000000000005</v>
      </c>
      <c r="F71" s="32">
        <f t="shared" si="11"/>
        <v>54.09</v>
      </c>
      <c r="G71" s="32">
        <f t="shared" si="11"/>
        <v>54.99</v>
      </c>
      <c r="H71" s="32">
        <f t="shared" si="11"/>
        <v>55.89</v>
      </c>
      <c r="I71" s="32">
        <f t="shared" si="11"/>
        <v>56.79</v>
      </c>
      <c r="J71" s="32">
        <f t="shared" si="11"/>
        <v>57.69</v>
      </c>
      <c r="K71" s="32">
        <f t="shared" si="11"/>
        <v>58.589999999999996</v>
      </c>
      <c r="L71" s="32">
        <f t="shared" si="11"/>
        <v>59.489999999999995</v>
      </c>
      <c r="M71" s="32">
        <f t="shared" si="11"/>
        <v>60.389999999999993</v>
      </c>
      <c r="N71" s="32">
        <f t="shared" si="11"/>
        <v>61.29</v>
      </c>
      <c r="O71" s="32">
        <f t="shared" si="11"/>
        <v>62.19</v>
      </c>
      <c r="P71" s="32">
        <f t="shared" si="11"/>
        <v>63.089999999999996</v>
      </c>
      <c r="Q71" s="32">
        <f t="shared" si="11"/>
        <v>63.989999999999995</v>
      </c>
      <c r="R71" s="32">
        <f t="shared" si="11"/>
        <v>64.89</v>
      </c>
      <c r="S71" s="32">
        <f t="shared" si="10"/>
        <v>65.789999999999992</v>
      </c>
      <c r="T71" s="186">
        <f t="shared" si="10"/>
        <v>66.69</v>
      </c>
      <c r="U71" s="32">
        <f t="shared" si="10"/>
        <v>67.59</v>
      </c>
      <c r="V71" s="32">
        <f t="shared" si="10"/>
        <v>68.489999999999995</v>
      </c>
      <c r="W71" s="32">
        <f t="shared" si="10"/>
        <v>69.39</v>
      </c>
      <c r="X71" s="32">
        <f t="shared" si="10"/>
        <v>70.289999999999992</v>
      </c>
      <c r="Y71" s="32">
        <f t="shared" si="10"/>
        <v>71.19</v>
      </c>
      <c r="Z71" s="32">
        <f t="shared" si="10"/>
        <v>72.09</v>
      </c>
      <c r="AA71" s="32">
        <f t="shared" si="10"/>
        <v>72.989999999999995</v>
      </c>
      <c r="AB71" s="32">
        <f t="shared" si="10"/>
        <v>73.89</v>
      </c>
      <c r="AC71" s="32">
        <f t="shared" si="10"/>
        <v>74.789999999999992</v>
      </c>
      <c r="AD71" s="32">
        <f t="shared" si="10"/>
        <v>75.69</v>
      </c>
      <c r="AE71" s="32">
        <f t="shared" si="10"/>
        <v>76.59</v>
      </c>
      <c r="AF71" s="32">
        <f t="shared" si="10"/>
        <v>77.489999999999995</v>
      </c>
      <c r="AG71" s="32">
        <f t="shared" si="10"/>
        <v>78.39</v>
      </c>
      <c r="AH71" s="32">
        <f t="shared" si="14"/>
        <v>79.289999999999992</v>
      </c>
      <c r="AI71" s="32">
        <f t="shared" si="14"/>
        <v>80.19</v>
      </c>
      <c r="AJ71" s="32">
        <f t="shared" si="14"/>
        <v>81.09</v>
      </c>
      <c r="AK71" s="32">
        <f t="shared" si="14"/>
        <v>81.99</v>
      </c>
      <c r="AL71" s="32">
        <f t="shared" si="14"/>
        <v>82.89</v>
      </c>
      <c r="AM71" s="32">
        <f t="shared" si="13"/>
        <v>83.789999999999992</v>
      </c>
      <c r="AN71" s="32">
        <f t="shared" si="13"/>
        <v>84.69</v>
      </c>
      <c r="AO71" s="32">
        <f t="shared" si="13"/>
        <v>85.59</v>
      </c>
      <c r="AP71" s="32">
        <f t="shared" si="13"/>
        <v>86.49</v>
      </c>
      <c r="AQ71" s="32">
        <f t="shared" si="13"/>
        <v>87.39</v>
      </c>
      <c r="AR71" s="32">
        <f t="shared" si="13"/>
        <v>88.289999999999992</v>
      </c>
      <c r="AS71" s="32">
        <f t="shared" si="13"/>
        <v>89.19</v>
      </c>
      <c r="AT71" s="32">
        <f t="shared" si="13"/>
        <v>90.09</v>
      </c>
      <c r="AU71" s="32">
        <f t="shared" si="13"/>
        <v>90.99</v>
      </c>
      <c r="AV71" s="32">
        <f t="shared" si="13"/>
        <v>91.89</v>
      </c>
      <c r="AW71" s="32">
        <f t="shared" si="13"/>
        <v>92.789999999999992</v>
      </c>
      <c r="AX71" s="32">
        <f t="shared" si="13"/>
        <v>93.69</v>
      </c>
      <c r="AY71" s="32">
        <f t="shared" si="13"/>
        <v>94.59</v>
      </c>
      <c r="AZ71" s="32">
        <f t="shared" si="13"/>
        <v>95.49</v>
      </c>
      <c r="BA71" s="16"/>
    </row>
    <row r="72" spans="1:53" hidden="1" x14ac:dyDescent="0.25">
      <c r="A72" s="16"/>
      <c r="B72" s="31">
        <v>72</v>
      </c>
      <c r="C72" s="32">
        <f t="shared" si="11"/>
        <v>51.480000000000004</v>
      </c>
      <c r="D72" s="32">
        <f t="shared" si="11"/>
        <v>52.38</v>
      </c>
      <c r="E72" s="32">
        <f t="shared" si="11"/>
        <v>53.28</v>
      </c>
      <c r="F72" s="32">
        <f t="shared" si="11"/>
        <v>54.180000000000007</v>
      </c>
      <c r="G72" s="32">
        <f t="shared" si="11"/>
        <v>55.080000000000005</v>
      </c>
      <c r="H72" s="32">
        <f t="shared" si="11"/>
        <v>55.980000000000004</v>
      </c>
      <c r="I72" s="32">
        <f t="shared" si="11"/>
        <v>56.88</v>
      </c>
      <c r="J72" s="32">
        <f t="shared" si="11"/>
        <v>57.78</v>
      </c>
      <c r="K72" s="32">
        <f t="shared" si="11"/>
        <v>58.680000000000007</v>
      </c>
      <c r="L72" s="32">
        <f t="shared" si="11"/>
        <v>59.580000000000005</v>
      </c>
      <c r="M72" s="32">
        <f t="shared" si="11"/>
        <v>60.480000000000004</v>
      </c>
      <c r="N72" s="32">
        <f t="shared" si="11"/>
        <v>61.38</v>
      </c>
      <c r="O72" s="32">
        <f t="shared" si="11"/>
        <v>62.28</v>
      </c>
      <c r="P72" s="32">
        <f t="shared" si="11"/>
        <v>63.180000000000007</v>
      </c>
      <c r="Q72" s="32">
        <f t="shared" si="11"/>
        <v>64.08</v>
      </c>
      <c r="R72" s="32">
        <f t="shared" si="11"/>
        <v>64.98</v>
      </c>
      <c r="S72" s="32">
        <f t="shared" si="10"/>
        <v>65.88000000000001</v>
      </c>
      <c r="T72" s="186">
        <f t="shared" si="10"/>
        <v>66.78</v>
      </c>
      <c r="U72" s="32">
        <f t="shared" si="10"/>
        <v>67.680000000000007</v>
      </c>
      <c r="V72" s="32">
        <f t="shared" si="10"/>
        <v>68.58</v>
      </c>
      <c r="W72" s="32">
        <f t="shared" si="10"/>
        <v>69.48</v>
      </c>
      <c r="X72" s="32">
        <f t="shared" si="10"/>
        <v>70.38000000000001</v>
      </c>
      <c r="Y72" s="32">
        <f t="shared" si="10"/>
        <v>71.28</v>
      </c>
      <c r="Z72" s="32">
        <f t="shared" si="10"/>
        <v>72.180000000000007</v>
      </c>
      <c r="AA72" s="32">
        <f t="shared" si="10"/>
        <v>73.08</v>
      </c>
      <c r="AB72" s="32">
        <f t="shared" si="10"/>
        <v>73.98</v>
      </c>
      <c r="AC72" s="32">
        <f t="shared" si="10"/>
        <v>74.88000000000001</v>
      </c>
      <c r="AD72" s="32">
        <f t="shared" si="10"/>
        <v>75.78</v>
      </c>
      <c r="AE72" s="32">
        <f t="shared" si="10"/>
        <v>76.680000000000007</v>
      </c>
      <c r="AF72" s="32">
        <f t="shared" si="10"/>
        <v>77.58</v>
      </c>
      <c r="AG72" s="32">
        <f t="shared" si="10"/>
        <v>78.48</v>
      </c>
      <c r="AH72" s="32">
        <f t="shared" si="14"/>
        <v>79.38000000000001</v>
      </c>
      <c r="AI72" s="32">
        <f t="shared" si="14"/>
        <v>80.28</v>
      </c>
      <c r="AJ72" s="32">
        <f t="shared" si="14"/>
        <v>81.180000000000007</v>
      </c>
      <c r="AK72" s="32">
        <f t="shared" si="14"/>
        <v>82.08</v>
      </c>
      <c r="AL72" s="32">
        <f t="shared" si="14"/>
        <v>82.98</v>
      </c>
      <c r="AM72" s="32">
        <f t="shared" si="13"/>
        <v>83.88000000000001</v>
      </c>
      <c r="AN72" s="32">
        <f t="shared" si="13"/>
        <v>84.78</v>
      </c>
      <c r="AO72" s="32">
        <f t="shared" si="13"/>
        <v>85.68</v>
      </c>
      <c r="AP72" s="32">
        <f t="shared" si="13"/>
        <v>86.58</v>
      </c>
      <c r="AQ72" s="32">
        <f t="shared" si="13"/>
        <v>87.48</v>
      </c>
      <c r="AR72" s="32">
        <f t="shared" si="13"/>
        <v>88.38000000000001</v>
      </c>
      <c r="AS72" s="32">
        <f t="shared" si="13"/>
        <v>89.28</v>
      </c>
      <c r="AT72" s="32">
        <f t="shared" si="13"/>
        <v>90.18</v>
      </c>
      <c r="AU72" s="32">
        <f t="shared" si="13"/>
        <v>91.08</v>
      </c>
      <c r="AV72" s="32">
        <f t="shared" si="13"/>
        <v>91.98</v>
      </c>
      <c r="AW72" s="32">
        <f t="shared" si="13"/>
        <v>92.88000000000001</v>
      </c>
      <c r="AX72" s="32">
        <f t="shared" si="13"/>
        <v>93.78</v>
      </c>
      <c r="AY72" s="32">
        <f t="shared" si="13"/>
        <v>94.68</v>
      </c>
      <c r="AZ72" s="32">
        <f t="shared" si="13"/>
        <v>95.58</v>
      </c>
      <c r="BA72" s="16"/>
    </row>
    <row r="73" spans="1:53" hidden="1" x14ac:dyDescent="0.25">
      <c r="A73" s="16"/>
      <c r="B73" s="31">
        <v>73</v>
      </c>
      <c r="C73" s="32">
        <f t="shared" si="11"/>
        <v>51.57</v>
      </c>
      <c r="D73" s="32">
        <f t="shared" si="11"/>
        <v>52.47</v>
      </c>
      <c r="E73" s="32">
        <f t="shared" si="11"/>
        <v>53.37</v>
      </c>
      <c r="F73" s="32">
        <f t="shared" si="11"/>
        <v>54.269999999999996</v>
      </c>
      <c r="G73" s="32">
        <f t="shared" si="11"/>
        <v>55.17</v>
      </c>
      <c r="H73" s="32">
        <f t="shared" si="11"/>
        <v>56.07</v>
      </c>
      <c r="I73" s="32">
        <f t="shared" si="11"/>
        <v>56.97</v>
      </c>
      <c r="J73" s="32">
        <f t="shared" si="11"/>
        <v>57.87</v>
      </c>
      <c r="K73" s="32">
        <f t="shared" si="11"/>
        <v>58.769999999999996</v>
      </c>
      <c r="L73" s="32">
        <f t="shared" si="11"/>
        <v>59.67</v>
      </c>
      <c r="M73" s="32">
        <f t="shared" si="11"/>
        <v>60.57</v>
      </c>
      <c r="N73" s="32">
        <f t="shared" si="11"/>
        <v>61.47</v>
      </c>
      <c r="O73" s="32">
        <f t="shared" si="11"/>
        <v>62.37</v>
      </c>
      <c r="P73" s="32">
        <f t="shared" si="11"/>
        <v>63.269999999999996</v>
      </c>
      <c r="Q73" s="32">
        <f t="shared" si="11"/>
        <v>64.17</v>
      </c>
      <c r="R73" s="32">
        <f t="shared" ref="R73:AG80" si="15">(R$16-100+$B73/10)*0.9</f>
        <v>65.069999999999993</v>
      </c>
      <c r="S73" s="32">
        <f t="shared" si="15"/>
        <v>65.97</v>
      </c>
      <c r="T73" s="186">
        <f t="shared" si="15"/>
        <v>66.87</v>
      </c>
      <c r="U73" s="32">
        <f t="shared" si="15"/>
        <v>67.77</v>
      </c>
      <c r="V73" s="32">
        <f t="shared" si="15"/>
        <v>68.67</v>
      </c>
      <c r="W73" s="32">
        <f t="shared" si="15"/>
        <v>69.569999999999993</v>
      </c>
      <c r="X73" s="32">
        <f t="shared" si="15"/>
        <v>70.47</v>
      </c>
      <c r="Y73" s="32">
        <f t="shared" si="15"/>
        <v>71.37</v>
      </c>
      <c r="Z73" s="32">
        <f t="shared" si="15"/>
        <v>72.27</v>
      </c>
      <c r="AA73" s="32">
        <f t="shared" si="15"/>
        <v>73.17</v>
      </c>
      <c r="AB73" s="32">
        <f t="shared" si="15"/>
        <v>74.069999999999993</v>
      </c>
      <c r="AC73" s="32">
        <f t="shared" si="15"/>
        <v>74.97</v>
      </c>
      <c r="AD73" s="32">
        <f t="shared" si="15"/>
        <v>75.87</v>
      </c>
      <c r="AE73" s="32">
        <f t="shared" si="15"/>
        <v>76.77</v>
      </c>
      <c r="AF73" s="32">
        <f t="shared" si="15"/>
        <v>77.67</v>
      </c>
      <c r="AG73" s="32">
        <f t="shared" si="15"/>
        <v>78.569999999999993</v>
      </c>
      <c r="AH73" s="32">
        <f t="shared" si="14"/>
        <v>79.47</v>
      </c>
      <c r="AI73" s="32">
        <f t="shared" si="14"/>
        <v>80.37</v>
      </c>
      <c r="AJ73" s="32">
        <f t="shared" si="14"/>
        <v>81.27</v>
      </c>
      <c r="AK73" s="32">
        <f t="shared" si="14"/>
        <v>82.17</v>
      </c>
      <c r="AL73" s="32">
        <f t="shared" si="14"/>
        <v>83.07</v>
      </c>
      <c r="AM73" s="32">
        <f t="shared" si="13"/>
        <v>83.97</v>
      </c>
      <c r="AN73" s="32">
        <f t="shared" si="13"/>
        <v>84.87</v>
      </c>
      <c r="AO73" s="32">
        <f t="shared" si="13"/>
        <v>85.77</v>
      </c>
      <c r="AP73" s="32">
        <f t="shared" si="13"/>
        <v>86.67</v>
      </c>
      <c r="AQ73" s="32">
        <f t="shared" si="13"/>
        <v>87.57</v>
      </c>
      <c r="AR73" s="32">
        <f t="shared" si="13"/>
        <v>88.47</v>
      </c>
      <c r="AS73" s="32">
        <f t="shared" si="13"/>
        <v>89.37</v>
      </c>
      <c r="AT73" s="32">
        <f t="shared" si="13"/>
        <v>90.27</v>
      </c>
      <c r="AU73" s="32">
        <f t="shared" si="13"/>
        <v>91.17</v>
      </c>
      <c r="AV73" s="32">
        <f t="shared" si="13"/>
        <v>92.07</v>
      </c>
      <c r="AW73" s="32">
        <f t="shared" si="13"/>
        <v>92.97</v>
      </c>
      <c r="AX73" s="32">
        <f t="shared" si="13"/>
        <v>93.87</v>
      </c>
      <c r="AY73" s="32">
        <f t="shared" si="13"/>
        <v>94.77</v>
      </c>
      <c r="AZ73" s="32">
        <f t="shared" si="13"/>
        <v>95.67</v>
      </c>
      <c r="BA73" s="16"/>
    </row>
    <row r="74" spans="1:53" hidden="1" x14ac:dyDescent="0.25">
      <c r="A74" s="16"/>
      <c r="B74" s="31">
        <v>74</v>
      </c>
      <c r="C74" s="32">
        <f t="shared" ref="C74:R80" si="16">(C$16-100+$B74/10)*0.9</f>
        <v>51.66</v>
      </c>
      <c r="D74" s="32">
        <f t="shared" si="16"/>
        <v>52.56</v>
      </c>
      <c r="E74" s="32">
        <f t="shared" si="16"/>
        <v>53.46</v>
      </c>
      <c r="F74" s="32">
        <f t="shared" si="16"/>
        <v>54.36</v>
      </c>
      <c r="G74" s="32">
        <f t="shared" si="16"/>
        <v>55.26</v>
      </c>
      <c r="H74" s="32">
        <f t="shared" si="16"/>
        <v>56.16</v>
      </c>
      <c r="I74" s="32">
        <f t="shared" si="16"/>
        <v>57.06</v>
      </c>
      <c r="J74" s="32">
        <f t="shared" si="16"/>
        <v>57.960000000000008</v>
      </c>
      <c r="K74" s="32">
        <f t="shared" si="16"/>
        <v>58.860000000000007</v>
      </c>
      <c r="L74" s="32">
        <f t="shared" si="16"/>
        <v>59.760000000000005</v>
      </c>
      <c r="M74" s="32">
        <f t="shared" si="16"/>
        <v>60.660000000000004</v>
      </c>
      <c r="N74" s="32">
        <f t="shared" si="16"/>
        <v>61.560000000000009</v>
      </c>
      <c r="O74" s="32">
        <f t="shared" si="16"/>
        <v>62.460000000000008</v>
      </c>
      <c r="P74" s="32">
        <f t="shared" si="16"/>
        <v>63.360000000000007</v>
      </c>
      <c r="Q74" s="32">
        <f t="shared" si="16"/>
        <v>64.260000000000005</v>
      </c>
      <c r="R74" s="32">
        <f t="shared" si="16"/>
        <v>65.160000000000011</v>
      </c>
      <c r="S74" s="32">
        <f t="shared" si="15"/>
        <v>66.06</v>
      </c>
      <c r="T74" s="186">
        <f t="shared" si="15"/>
        <v>66.960000000000008</v>
      </c>
      <c r="U74" s="32">
        <f t="shared" si="15"/>
        <v>67.860000000000014</v>
      </c>
      <c r="V74" s="32">
        <f t="shared" si="15"/>
        <v>68.760000000000005</v>
      </c>
      <c r="W74" s="32">
        <f t="shared" si="15"/>
        <v>69.660000000000011</v>
      </c>
      <c r="X74" s="32">
        <f t="shared" si="15"/>
        <v>70.56</v>
      </c>
      <c r="Y74" s="32">
        <f t="shared" si="15"/>
        <v>71.460000000000008</v>
      </c>
      <c r="Z74" s="32">
        <f t="shared" si="15"/>
        <v>72.360000000000014</v>
      </c>
      <c r="AA74" s="32">
        <f t="shared" si="15"/>
        <v>73.260000000000005</v>
      </c>
      <c r="AB74" s="32">
        <f t="shared" si="15"/>
        <v>74.160000000000011</v>
      </c>
      <c r="AC74" s="32">
        <f t="shared" si="15"/>
        <v>75.06</v>
      </c>
      <c r="AD74" s="32">
        <f t="shared" si="15"/>
        <v>75.960000000000008</v>
      </c>
      <c r="AE74" s="32">
        <f t="shared" si="15"/>
        <v>76.860000000000014</v>
      </c>
      <c r="AF74" s="32">
        <f t="shared" si="15"/>
        <v>77.760000000000005</v>
      </c>
      <c r="AG74" s="32">
        <f t="shared" si="15"/>
        <v>78.660000000000011</v>
      </c>
      <c r="AH74" s="32">
        <f t="shared" si="14"/>
        <v>79.56</v>
      </c>
      <c r="AI74" s="32">
        <f t="shared" si="14"/>
        <v>80.460000000000008</v>
      </c>
      <c r="AJ74" s="32">
        <f t="shared" si="14"/>
        <v>81.360000000000014</v>
      </c>
      <c r="AK74" s="32">
        <f t="shared" si="14"/>
        <v>82.26</v>
      </c>
      <c r="AL74" s="32">
        <f t="shared" si="14"/>
        <v>83.160000000000011</v>
      </c>
      <c r="AM74" s="32">
        <f t="shared" si="13"/>
        <v>84.06</v>
      </c>
      <c r="AN74" s="32">
        <f t="shared" si="13"/>
        <v>84.960000000000008</v>
      </c>
      <c r="AO74" s="32">
        <f t="shared" si="13"/>
        <v>85.860000000000014</v>
      </c>
      <c r="AP74" s="32">
        <f t="shared" si="13"/>
        <v>86.76</v>
      </c>
      <c r="AQ74" s="32">
        <f t="shared" si="13"/>
        <v>87.660000000000011</v>
      </c>
      <c r="AR74" s="32">
        <f t="shared" si="13"/>
        <v>88.56</v>
      </c>
      <c r="AS74" s="32">
        <f t="shared" si="13"/>
        <v>89.460000000000008</v>
      </c>
      <c r="AT74" s="32">
        <f t="shared" si="13"/>
        <v>90.360000000000014</v>
      </c>
      <c r="AU74" s="32">
        <f t="shared" si="13"/>
        <v>91.26</v>
      </c>
      <c r="AV74" s="32">
        <f t="shared" si="13"/>
        <v>92.160000000000011</v>
      </c>
      <c r="AW74" s="32">
        <f t="shared" si="13"/>
        <v>93.06</v>
      </c>
      <c r="AX74" s="32">
        <f t="shared" si="13"/>
        <v>93.960000000000008</v>
      </c>
      <c r="AY74" s="32">
        <f t="shared" si="13"/>
        <v>94.860000000000014</v>
      </c>
      <c r="AZ74" s="32">
        <f t="shared" si="13"/>
        <v>95.76</v>
      </c>
      <c r="BA74" s="16"/>
    </row>
    <row r="75" spans="1:53" hidden="1" x14ac:dyDescent="0.25">
      <c r="A75" s="16"/>
      <c r="B75" s="31">
        <v>75</v>
      </c>
      <c r="C75" s="32">
        <f t="shared" si="16"/>
        <v>51.75</v>
      </c>
      <c r="D75" s="32">
        <f t="shared" si="16"/>
        <v>52.65</v>
      </c>
      <c r="E75" s="32">
        <f t="shared" si="16"/>
        <v>53.550000000000004</v>
      </c>
      <c r="F75" s="32">
        <f t="shared" si="16"/>
        <v>54.45</v>
      </c>
      <c r="G75" s="32">
        <f t="shared" si="16"/>
        <v>55.35</v>
      </c>
      <c r="H75" s="32">
        <f t="shared" si="16"/>
        <v>56.25</v>
      </c>
      <c r="I75" s="32">
        <f t="shared" si="16"/>
        <v>57.15</v>
      </c>
      <c r="J75" s="32">
        <f t="shared" si="16"/>
        <v>58.050000000000004</v>
      </c>
      <c r="K75" s="32">
        <f t="shared" si="16"/>
        <v>58.95</v>
      </c>
      <c r="L75" s="32">
        <f t="shared" si="16"/>
        <v>59.85</v>
      </c>
      <c r="M75" s="32">
        <f t="shared" si="16"/>
        <v>60.75</v>
      </c>
      <c r="N75" s="32">
        <f t="shared" si="16"/>
        <v>61.65</v>
      </c>
      <c r="O75" s="32">
        <f t="shared" si="16"/>
        <v>62.550000000000004</v>
      </c>
      <c r="P75" s="32">
        <f t="shared" si="16"/>
        <v>63.45</v>
      </c>
      <c r="Q75" s="32">
        <f t="shared" si="16"/>
        <v>64.350000000000009</v>
      </c>
      <c r="R75" s="32">
        <f t="shared" si="16"/>
        <v>65.25</v>
      </c>
      <c r="S75" s="32">
        <f t="shared" si="15"/>
        <v>66.150000000000006</v>
      </c>
      <c r="T75" s="186">
        <f t="shared" si="15"/>
        <v>67.05</v>
      </c>
      <c r="U75" s="32">
        <f t="shared" si="15"/>
        <v>67.95</v>
      </c>
      <c r="V75" s="32">
        <f t="shared" si="15"/>
        <v>68.850000000000009</v>
      </c>
      <c r="W75" s="32">
        <f t="shared" si="15"/>
        <v>69.75</v>
      </c>
      <c r="X75" s="32">
        <f t="shared" si="15"/>
        <v>70.650000000000006</v>
      </c>
      <c r="Y75" s="32">
        <f t="shared" si="15"/>
        <v>71.55</v>
      </c>
      <c r="Z75" s="32">
        <f t="shared" si="15"/>
        <v>72.45</v>
      </c>
      <c r="AA75" s="32">
        <f t="shared" si="15"/>
        <v>73.350000000000009</v>
      </c>
      <c r="AB75" s="32">
        <f t="shared" si="15"/>
        <v>74.25</v>
      </c>
      <c r="AC75" s="32">
        <f t="shared" si="15"/>
        <v>75.150000000000006</v>
      </c>
      <c r="AD75" s="32">
        <f t="shared" si="15"/>
        <v>76.05</v>
      </c>
      <c r="AE75" s="32">
        <f t="shared" si="15"/>
        <v>76.95</v>
      </c>
      <c r="AF75" s="32">
        <f t="shared" si="15"/>
        <v>77.850000000000009</v>
      </c>
      <c r="AG75" s="32">
        <f t="shared" si="15"/>
        <v>78.75</v>
      </c>
      <c r="AH75" s="32">
        <f t="shared" si="14"/>
        <v>79.650000000000006</v>
      </c>
      <c r="AI75" s="32">
        <f t="shared" si="14"/>
        <v>80.55</v>
      </c>
      <c r="AJ75" s="32">
        <f t="shared" si="14"/>
        <v>81.45</v>
      </c>
      <c r="AK75" s="32">
        <f t="shared" si="14"/>
        <v>82.350000000000009</v>
      </c>
      <c r="AL75" s="32">
        <f t="shared" si="14"/>
        <v>83.25</v>
      </c>
      <c r="AM75" s="32">
        <f t="shared" si="13"/>
        <v>84.15</v>
      </c>
      <c r="AN75" s="32">
        <f t="shared" si="13"/>
        <v>85.05</v>
      </c>
      <c r="AO75" s="32">
        <f t="shared" si="13"/>
        <v>85.95</v>
      </c>
      <c r="AP75" s="32">
        <f t="shared" si="13"/>
        <v>86.850000000000009</v>
      </c>
      <c r="AQ75" s="32">
        <f t="shared" si="13"/>
        <v>87.75</v>
      </c>
      <c r="AR75" s="32">
        <f t="shared" si="13"/>
        <v>88.65</v>
      </c>
      <c r="AS75" s="32">
        <f t="shared" si="13"/>
        <v>89.55</v>
      </c>
      <c r="AT75" s="32">
        <f t="shared" si="13"/>
        <v>90.45</v>
      </c>
      <c r="AU75" s="32">
        <f t="shared" si="13"/>
        <v>91.350000000000009</v>
      </c>
      <c r="AV75" s="32">
        <f t="shared" si="13"/>
        <v>92.25</v>
      </c>
      <c r="AW75" s="32">
        <f t="shared" si="13"/>
        <v>93.15</v>
      </c>
      <c r="AX75" s="32">
        <f t="shared" si="13"/>
        <v>94.05</v>
      </c>
      <c r="AY75" s="32">
        <f t="shared" si="13"/>
        <v>94.95</v>
      </c>
      <c r="AZ75" s="32">
        <f t="shared" si="13"/>
        <v>95.850000000000009</v>
      </c>
      <c r="BA75" s="16"/>
    </row>
    <row r="76" spans="1:53" hidden="1" x14ac:dyDescent="0.25">
      <c r="A76" s="16"/>
      <c r="B76" s="31">
        <v>76</v>
      </c>
      <c r="C76" s="32">
        <f t="shared" si="16"/>
        <v>51.84</v>
      </c>
      <c r="D76" s="32">
        <f t="shared" si="16"/>
        <v>52.74</v>
      </c>
      <c r="E76" s="32">
        <f t="shared" si="16"/>
        <v>53.64</v>
      </c>
      <c r="F76" s="32">
        <f t="shared" si="16"/>
        <v>54.54</v>
      </c>
      <c r="G76" s="32">
        <f t="shared" si="16"/>
        <v>55.440000000000005</v>
      </c>
      <c r="H76" s="32">
        <f t="shared" si="16"/>
        <v>56.34</v>
      </c>
      <c r="I76" s="32">
        <f t="shared" si="16"/>
        <v>57.24</v>
      </c>
      <c r="J76" s="32">
        <f t="shared" si="16"/>
        <v>58.139999999999993</v>
      </c>
      <c r="K76" s="32">
        <f t="shared" si="16"/>
        <v>59.04</v>
      </c>
      <c r="L76" s="32">
        <f t="shared" si="16"/>
        <v>59.94</v>
      </c>
      <c r="M76" s="32">
        <f t="shared" si="16"/>
        <v>60.839999999999996</v>
      </c>
      <c r="N76" s="32">
        <f t="shared" si="16"/>
        <v>61.739999999999995</v>
      </c>
      <c r="O76" s="32">
        <f t="shared" si="16"/>
        <v>62.639999999999993</v>
      </c>
      <c r="P76" s="32">
        <f t="shared" si="16"/>
        <v>63.54</v>
      </c>
      <c r="Q76" s="32">
        <f t="shared" si="16"/>
        <v>64.44</v>
      </c>
      <c r="R76" s="32">
        <f t="shared" si="16"/>
        <v>65.34</v>
      </c>
      <c r="S76" s="32">
        <f t="shared" si="15"/>
        <v>66.239999999999995</v>
      </c>
      <c r="T76" s="186">
        <f t="shared" si="15"/>
        <v>67.14</v>
      </c>
      <c r="U76" s="32">
        <f t="shared" si="15"/>
        <v>68.039999999999992</v>
      </c>
      <c r="V76" s="32">
        <f t="shared" si="15"/>
        <v>68.94</v>
      </c>
      <c r="W76" s="32">
        <f t="shared" si="15"/>
        <v>69.84</v>
      </c>
      <c r="X76" s="32">
        <f t="shared" si="15"/>
        <v>70.739999999999995</v>
      </c>
      <c r="Y76" s="32">
        <f t="shared" si="15"/>
        <v>71.64</v>
      </c>
      <c r="Z76" s="32">
        <f t="shared" si="15"/>
        <v>72.539999999999992</v>
      </c>
      <c r="AA76" s="32">
        <f t="shared" si="15"/>
        <v>73.44</v>
      </c>
      <c r="AB76" s="32">
        <f t="shared" si="15"/>
        <v>74.34</v>
      </c>
      <c r="AC76" s="32">
        <f t="shared" si="15"/>
        <v>75.239999999999995</v>
      </c>
      <c r="AD76" s="32">
        <f t="shared" si="15"/>
        <v>76.14</v>
      </c>
      <c r="AE76" s="32">
        <f t="shared" si="15"/>
        <v>77.039999999999992</v>
      </c>
      <c r="AF76" s="32">
        <f t="shared" si="15"/>
        <v>77.94</v>
      </c>
      <c r="AG76" s="32">
        <f t="shared" si="15"/>
        <v>78.84</v>
      </c>
      <c r="AH76" s="32">
        <f t="shared" si="14"/>
        <v>79.739999999999995</v>
      </c>
      <c r="AI76" s="32">
        <f t="shared" si="14"/>
        <v>80.64</v>
      </c>
      <c r="AJ76" s="32">
        <f t="shared" si="14"/>
        <v>81.539999999999992</v>
      </c>
      <c r="AK76" s="32">
        <f t="shared" si="14"/>
        <v>82.44</v>
      </c>
      <c r="AL76" s="32">
        <f t="shared" si="14"/>
        <v>83.34</v>
      </c>
      <c r="AM76" s="32">
        <f t="shared" si="13"/>
        <v>84.24</v>
      </c>
      <c r="AN76" s="32">
        <f t="shared" si="13"/>
        <v>85.14</v>
      </c>
      <c r="AO76" s="32">
        <f t="shared" si="13"/>
        <v>86.039999999999992</v>
      </c>
      <c r="AP76" s="32">
        <f t="shared" si="13"/>
        <v>86.94</v>
      </c>
      <c r="AQ76" s="32">
        <f t="shared" si="13"/>
        <v>87.84</v>
      </c>
      <c r="AR76" s="32">
        <f t="shared" si="13"/>
        <v>88.74</v>
      </c>
      <c r="AS76" s="32">
        <f t="shared" si="13"/>
        <v>89.64</v>
      </c>
      <c r="AT76" s="32">
        <f t="shared" si="13"/>
        <v>90.539999999999992</v>
      </c>
      <c r="AU76" s="32">
        <f t="shared" si="13"/>
        <v>91.44</v>
      </c>
      <c r="AV76" s="32">
        <f t="shared" si="13"/>
        <v>92.34</v>
      </c>
      <c r="AW76" s="32">
        <f t="shared" si="13"/>
        <v>93.24</v>
      </c>
      <c r="AX76" s="32">
        <f t="shared" si="13"/>
        <v>94.14</v>
      </c>
      <c r="AY76" s="32">
        <f t="shared" si="13"/>
        <v>95.039999999999992</v>
      </c>
      <c r="AZ76" s="32">
        <f t="shared" si="13"/>
        <v>95.94</v>
      </c>
      <c r="BA76" s="16"/>
    </row>
    <row r="77" spans="1:53" hidden="1" x14ac:dyDescent="0.25">
      <c r="A77" s="16"/>
      <c r="B77" s="31">
        <v>77</v>
      </c>
      <c r="C77" s="32">
        <f t="shared" si="16"/>
        <v>51.930000000000007</v>
      </c>
      <c r="D77" s="32">
        <f t="shared" si="16"/>
        <v>52.830000000000005</v>
      </c>
      <c r="E77" s="32">
        <f t="shared" si="16"/>
        <v>53.730000000000004</v>
      </c>
      <c r="F77" s="32">
        <f t="shared" si="16"/>
        <v>54.63</v>
      </c>
      <c r="G77" s="32">
        <f t="shared" si="16"/>
        <v>55.53</v>
      </c>
      <c r="H77" s="32">
        <f t="shared" si="16"/>
        <v>56.430000000000007</v>
      </c>
      <c r="I77" s="32">
        <f t="shared" si="16"/>
        <v>57.330000000000005</v>
      </c>
      <c r="J77" s="32">
        <f t="shared" si="16"/>
        <v>58.230000000000004</v>
      </c>
      <c r="K77" s="32">
        <f t="shared" si="16"/>
        <v>59.13</v>
      </c>
      <c r="L77" s="32">
        <f t="shared" si="16"/>
        <v>60.03</v>
      </c>
      <c r="M77" s="32">
        <f t="shared" si="16"/>
        <v>60.930000000000007</v>
      </c>
      <c r="N77" s="32">
        <f t="shared" si="16"/>
        <v>61.830000000000005</v>
      </c>
      <c r="O77" s="32">
        <f t="shared" si="16"/>
        <v>62.730000000000004</v>
      </c>
      <c r="P77" s="32">
        <f t="shared" si="16"/>
        <v>63.63</v>
      </c>
      <c r="Q77" s="32">
        <f t="shared" si="16"/>
        <v>64.53</v>
      </c>
      <c r="R77" s="32">
        <f t="shared" si="16"/>
        <v>65.430000000000007</v>
      </c>
      <c r="S77" s="32">
        <f t="shared" si="15"/>
        <v>66.33</v>
      </c>
      <c r="T77" s="186">
        <f t="shared" si="15"/>
        <v>67.23</v>
      </c>
      <c r="U77" s="32">
        <f t="shared" si="15"/>
        <v>68.13000000000001</v>
      </c>
      <c r="V77" s="32">
        <f t="shared" si="15"/>
        <v>69.03</v>
      </c>
      <c r="W77" s="32">
        <f t="shared" si="15"/>
        <v>69.930000000000007</v>
      </c>
      <c r="X77" s="32">
        <f t="shared" si="15"/>
        <v>70.83</v>
      </c>
      <c r="Y77" s="32">
        <f t="shared" si="15"/>
        <v>71.73</v>
      </c>
      <c r="Z77" s="32">
        <f t="shared" si="15"/>
        <v>72.63000000000001</v>
      </c>
      <c r="AA77" s="32">
        <f t="shared" si="15"/>
        <v>73.53</v>
      </c>
      <c r="AB77" s="32">
        <f t="shared" si="15"/>
        <v>74.430000000000007</v>
      </c>
      <c r="AC77" s="32">
        <f t="shared" si="15"/>
        <v>75.33</v>
      </c>
      <c r="AD77" s="32">
        <f t="shared" si="15"/>
        <v>76.23</v>
      </c>
      <c r="AE77" s="32">
        <f t="shared" si="15"/>
        <v>77.13000000000001</v>
      </c>
      <c r="AF77" s="32">
        <f t="shared" si="15"/>
        <v>78.03</v>
      </c>
      <c r="AG77" s="32">
        <f t="shared" si="15"/>
        <v>78.930000000000007</v>
      </c>
      <c r="AH77" s="32">
        <f t="shared" si="14"/>
        <v>79.83</v>
      </c>
      <c r="AI77" s="32">
        <f t="shared" si="14"/>
        <v>80.73</v>
      </c>
      <c r="AJ77" s="32">
        <f t="shared" si="14"/>
        <v>81.63000000000001</v>
      </c>
      <c r="AK77" s="32">
        <f t="shared" si="14"/>
        <v>82.53</v>
      </c>
      <c r="AL77" s="32">
        <f t="shared" si="14"/>
        <v>83.43</v>
      </c>
      <c r="AM77" s="32">
        <f t="shared" si="13"/>
        <v>84.33</v>
      </c>
      <c r="AN77" s="32">
        <f t="shared" si="13"/>
        <v>85.23</v>
      </c>
      <c r="AO77" s="32">
        <f t="shared" si="13"/>
        <v>86.13000000000001</v>
      </c>
      <c r="AP77" s="32">
        <f t="shared" si="13"/>
        <v>87.03</v>
      </c>
      <c r="AQ77" s="32">
        <f t="shared" si="13"/>
        <v>87.93</v>
      </c>
      <c r="AR77" s="32">
        <f t="shared" si="13"/>
        <v>88.83</v>
      </c>
      <c r="AS77" s="32">
        <f t="shared" si="13"/>
        <v>89.73</v>
      </c>
      <c r="AT77" s="32">
        <f t="shared" si="13"/>
        <v>90.63000000000001</v>
      </c>
      <c r="AU77" s="32">
        <f t="shared" si="13"/>
        <v>91.53</v>
      </c>
      <c r="AV77" s="32">
        <f t="shared" si="13"/>
        <v>92.43</v>
      </c>
      <c r="AW77" s="32">
        <f t="shared" si="13"/>
        <v>93.33</v>
      </c>
      <c r="AX77" s="32">
        <f t="shared" si="13"/>
        <v>94.23</v>
      </c>
      <c r="AY77" s="32">
        <f t="shared" si="13"/>
        <v>95.13000000000001</v>
      </c>
      <c r="AZ77" s="32">
        <f t="shared" si="13"/>
        <v>96.03</v>
      </c>
      <c r="BA77" s="16"/>
    </row>
    <row r="78" spans="1:53" hidden="1" x14ac:dyDescent="0.25">
      <c r="A78" s="16"/>
      <c r="B78" s="31">
        <v>78</v>
      </c>
      <c r="C78" s="32">
        <f t="shared" si="16"/>
        <v>52.019999999999996</v>
      </c>
      <c r="D78" s="32">
        <f t="shared" si="16"/>
        <v>52.92</v>
      </c>
      <c r="E78" s="32">
        <f t="shared" si="16"/>
        <v>53.82</v>
      </c>
      <c r="F78" s="32">
        <f t="shared" si="16"/>
        <v>54.72</v>
      </c>
      <c r="G78" s="32">
        <f t="shared" si="16"/>
        <v>55.62</v>
      </c>
      <c r="H78" s="32">
        <f t="shared" si="16"/>
        <v>56.519999999999996</v>
      </c>
      <c r="I78" s="32">
        <f t="shared" si="16"/>
        <v>57.42</v>
      </c>
      <c r="J78" s="32">
        <f t="shared" si="16"/>
        <v>58.32</v>
      </c>
      <c r="K78" s="32">
        <f t="shared" si="16"/>
        <v>59.22</v>
      </c>
      <c r="L78" s="32">
        <f t="shared" si="16"/>
        <v>60.12</v>
      </c>
      <c r="M78" s="32">
        <f t="shared" si="16"/>
        <v>61.019999999999996</v>
      </c>
      <c r="N78" s="32">
        <f t="shared" si="16"/>
        <v>61.92</v>
      </c>
      <c r="O78" s="32">
        <f t="shared" si="16"/>
        <v>62.82</v>
      </c>
      <c r="P78" s="32">
        <f t="shared" si="16"/>
        <v>63.72</v>
      </c>
      <c r="Q78" s="32">
        <f t="shared" si="16"/>
        <v>64.62</v>
      </c>
      <c r="R78" s="32">
        <f t="shared" si="16"/>
        <v>65.52</v>
      </c>
      <c r="S78" s="32">
        <f t="shared" si="15"/>
        <v>66.42</v>
      </c>
      <c r="T78" s="186">
        <f t="shared" si="15"/>
        <v>67.319999999999993</v>
      </c>
      <c r="U78" s="32">
        <f t="shared" si="15"/>
        <v>68.22</v>
      </c>
      <c r="V78" s="32">
        <f t="shared" si="15"/>
        <v>69.12</v>
      </c>
      <c r="W78" s="32">
        <f t="shared" si="15"/>
        <v>70.02</v>
      </c>
      <c r="X78" s="32">
        <f t="shared" si="15"/>
        <v>70.92</v>
      </c>
      <c r="Y78" s="32">
        <f t="shared" si="15"/>
        <v>71.819999999999993</v>
      </c>
      <c r="Z78" s="32">
        <f t="shared" si="15"/>
        <v>72.72</v>
      </c>
      <c r="AA78" s="32">
        <f t="shared" si="15"/>
        <v>73.62</v>
      </c>
      <c r="AB78" s="32">
        <f t="shared" si="15"/>
        <v>74.52</v>
      </c>
      <c r="AC78" s="32">
        <f t="shared" si="15"/>
        <v>75.42</v>
      </c>
      <c r="AD78" s="32">
        <f t="shared" si="15"/>
        <v>76.319999999999993</v>
      </c>
      <c r="AE78" s="32">
        <f t="shared" si="15"/>
        <v>77.22</v>
      </c>
      <c r="AF78" s="32">
        <f t="shared" si="15"/>
        <v>78.12</v>
      </c>
      <c r="AG78" s="32">
        <f t="shared" si="15"/>
        <v>79.02</v>
      </c>
      <c r="AH78" s="32">
        <f t="shared" si="14"/>
        <v>79.92</v>
      </c>
      <c r="AI78" s="32">
        <f t="shared" si="14"/>
        <v>80.819999999999993</v>
      </c>
      <c r="AJ78" s="32">
        <f t="shared" si="14"/>
        <v>81.72</v>
      </c>
      <c r="AK78" s="32">
        <f t="shared" si="14"/>
        <v>82.62</v>
      </c>
      <c r="AL78" s="32">
        <f t="shared" si="14"/>
        <v>83.52</v>
      </c>
      <c r="AM78" s="32">
        <f t="shared" si="13"/>
        <v>84.42</v>
      </c>
      <c r="AN78" s="32">
        <f t="shared" si="13"/>
        <v>85.32</v>
      </c>
      <c r="AO78" s="32">
        <f t="shared" si="13"/>
        <v>86.22</v>
      </c>
      <c r="AP78" s="32">
        <f t="shared" si="13"/>
        <v>87.12</v>
      </c>
      <c r="AQ78" s="32">
        <f t="shared" si="13"/>
        <v>88.02</v>
      </c>
      <c r="AR78" s="32">
        <f t="shared" si="13"/>
        <v>88.92</v>
      </c>
      <c r="AS78" s="32">
        <f t="shared" si="13"/>
        <v>89.82</v>
      </c>
      <c r="AT78" s="32">
        <f t="shared" si="13"/>
        <v>90.72</v>
      </c>
      <c r="AU78" s="32">
        <f t="shared" si="13"/>
        <v>91.62</v>
      </c>
      <c r="AV78" s="32">
        <f t="shared" si="13"/>
        <v>92.52</v>
      </c>
      <c r="AW78" s="32">
        <f t="shared" si="13"/>
        <v>93.42</v>
      </c>
      <c r="AX78" s="32">
        <f t="shared" si="13"/>
        <v>94.32</v>
      </c>
      <c r="AY78" s="32">
        <f t="shared" si="13"/>
        <v>95.22</v>
      </c>
      <c r="AZ78" s="32">
        <f t="shared" si="13"/>
        <v>96.12</v>
      </c>
      <c r="BA78" s="16"/>
    </row>
    <row r="79" spans="1:53" hidden="1" x14ac:dyDescent="0.25">
      <c r="A79" s="16"/>
      <c r="B79" s="31">
        <v>79</v>
      </c>
      <c r="C79" s="32">
        <f t="shared" si="16"/>
        <v>52.11</v>
      </c>
      <c r="D79" s="32">
        <f t="shared" si="16"/>
        <v>53.01</v>
      </c>
      <c r="E79" s="32">
        <f t="shared" si="16"/>
        <v>53.91</v>
      </c>
      <c r="F79" s="32">
        <f t="shared" si="16"/>
        <v>54.81</v>
      </c>
      <c r="G79" s="32">
        <f t="shared" si="16"/>
        <v>55.71</v>
      </c>
      <c r="H79" s="32">
        <f t="shared" si="16"/>
        <v>56.61</v>
      </c>
      <c r="I79" s="32">
        <f t="shared" si="16"/>
        <v>57.51</v>
      </c>
      <c r="J79" s="32">
        <f t="shared" si="16"/>
        <v>58.410000000000004</v>
      </c>
      <c r="K79" s="32">
        <f t="shared" si="16"/>
        <v>59.310000000000009</v>
      </c>
      <c r="L79" s="32">
        <f t="shared" si="16"/>
        <v>60.210000000000008</v>
      </c>
      <c r="M79" s="32">
        <f t="shared" si="16"/>
        <v>61.110000000000007</v>
      </c>
      <c r="N79" s="32">
        <f t="shared" si="16"/>
        <v>62.010000000000005</v>
      </c>
      <c r="O79" s="32">
        <f t="shared" si="16"/>
        <v>62.910000000000004</v>
      </c>
      <c r="P79" s="32">
        <f t="shared" si="16"/>
        <v>63.810000000000009</v>
      </c>
      <c r="Q79" s="32">
        <f t="shared" si="16"/>
        <v>64.710000000000008</v>
      </c>
      <c r="R79" s="32">
        <f t="shared" si="16"/>
        <v>65.610000000000014</v>
      </c>
      <c r="S79" s="32">
        <f t="shared" si="15"/>
        <v>66.510000000000005</v>
      </c>
      <c r="T79" s="186">
        <f t="shared" si="15"/>
        <v>67.410000000000011</v>
      </c>
      <c r="U79" s="32">
        <f t="shared" si="15"/>
        <v>68.31</v>
      </c>
      <c r="V79" s="32">
        <f t="shared" si="15"/>
        <v>69.210000000000008</v>
      </c>
      <c r="W79" s="32">
        <f t="shared" si="15"/>
        <v>70.110000000000014</v>
      </c>
      <c r="X79" s="32">
        <f t="shared" si="15"/>
        <v>71.010000000000005</v>
      </c>
      <c r="Y79" s="32">
        <f t="shared" si="15"/>
        <v>71.910000000000011</v>
      </c>
      <c r="Z79" s="32">
        <f t="shared" si="15"/>
        <v>72.81</v>
      </c>
      <c r="AA79" s="32">
        <f t="shared" si="15"/>
        <v>73.710000000000008</v>
      </c>
      <c r="AB79" s="32">
        <f t="shared" si="15"/>
        <v>74.610000000000014</v>
      </c>
      <c r="AC79" s="32">
        <f t="shared" si="15"/>
        <v>75.510000000000005</v>
      </c>
      <c r="AD79" s="32">
        <f t="shared" si="15"/>
        <v>76.410000000000011</v>
      </c>
      <c r="AE79" s="32">
        <f t="shared" si="15"/>
        <v>77.31</v>
      </c>
      <c r="AF79" s="32">
        <f t="shared" si="15"/>
        <v>78.210000000000008</v>
      </c>
      <c r="AG79" s="32">
        <f t="shared" si="15"/>
        <v>79.110000000000014</v>
      </c>
      <c r="AH79" s="32">
        <f t="shared" si="14"/>
        <v>80.010000000000005</v>
      </c>
      <c r="AI79" s="32">
        <f t="shared" si="14"/>
        <v>80.910000000000011</v>
      </c>
      <c r="AJ79" s="32">
        <f t="shared" si="14"/>
        <v>81.81</v>
      </c>
      <c r="AK79" s="32">
        <f t="shared" si="14"/>
        <v>82.710000000000008</v>
      </c>
      <c r="AL79" s="32">
        <f t="shared" si="14"/>
        <v>83.610000000000014</v>
      </c>
      <c r="AM79" s="32">
        <f t="shared" si="13"/>
        <v>84.51</v>
      </c>
      <c r="AN79" s="32">
        <f t="shared" si="13"/>
        <v>85.410000000000011</v>
      </c>
      <c r="AO79" s="32">
        <f t="shared" si="13"/>
        <v>86.31</v>
      </c>
      <c r="AP79" s="32">
        <f t="shared" si="13"/>
        <v>87.210000000000008</v>
      </c>
      <c r="AQ79" s="32">
        <f t="shared" si="13"/>
        <v>88.110000000000014</v>
      </c>
      <c r="AR79" s="32">
        <f t="shared" si="13"/>
        <v>89.01</v>
      </c>
      <c r="AS79" s="32">
        <f t="shared" si="13"/>
        <v>89.910000000000011</v>
      </c>
      <c r="AT79" s="32">
        <f t="shared" si="13"/>
        <v>90.81</v>
      </c>
      <c r="AU79" s="32">
        <f t="shared" si="13"/>
        <v>91.710000000000008</v>
      </c>
      <c r="AV79" s="32">
        <f t="shared" si="13"/>
        <v>92.610000000000014</v>
      </c>
      <c r="AW79" s="32">
        <f t="shared" si="13"/>
        <v>93.51</v>
      </c>
      <c r="AX79" s="32">
        <f t="shared" si="13"/>
        <v>94.410000000000011</v>
      </c>
      <c r="AY79" s="32">
        <f t="shared" si="13"/>
        <v>95.31</v>
      </c>
      <c r="AZ79" s="32">
        <f t="shared" si="13"/>
        <v>96.210000000000008</v>
      </c>
      <c r="BA79" s="16"/>
    </row>
    <row r="80" spans="1:53" hidden="1" x14ac:dyDescent="0.25">
      <c r="A80" s="16"/>
      <c r="B80" s="31">
        <v>80</v>
      </c>
      <c r="C80" s="32">
        <f t="shared" si="16"/>
        <v>52.2</v>
      </c>
      <c r="D80" s="32">
        <f t="shared" si="16"/>
        <v>53.1</v>
      </c>
      <c r="E80" s="32">
        <f t="shared" si="16"/>
        <v>54</v>
      </c>
      <c r="F80" s="32">
        <f t="shared" si="16"/>
        <v>54.9</v>
      </c>
      <c r="G80" s="32">
        <f t="shared" si="16"/>
        <v>55.800000000000004</v>
      </c>
      <c r="H80" s="32">
        <f t="shared" si="16"/>
        <v>56.7</v>
      </c>
      <c r="I80" s="32">
        <f t="shared" si="16"/>
        <v>57.6</v>
      </c>
      <c r="J80" s="32">
        <f t="shared" si="16"/>
        <v>58.5</v>
      </c>
      <c r="K80" s="32">
        <f t="shared" si="16"/>
        <v>59.4</v>
      </c>
      <c r="L80" s="32">
        <f t="shared" si="16"/>
        <v>60.300000000000004</v>
      </c>
      <c r="M80" s="32">
        <f t="shared" si="16"/>
        <v>61.2</v>
      </c>
      <c r="N80" s="32">
        <f t="shared" si="16"/>
        <v>62.1</v>
      </c>
      <c r="O80" s="32">
        <f t="shared" si="16"/>
        <v>63</v>
      </c>
      <c r="P80" s="32">
        <f t="shared" si="16"/>
        <v>63.9</v>
      </c>
      <c r="Q80" s="32">
        <f t="shared" si="16"/>
        <v>64.8</v>
      </c>
      <c r="R80" s="32">
        <f t="shared" si="16"/>
        <v>65.7</v>
      </c>
      <c r="S80" s="32">
        <f t="shared" si="15"/>
        <v>66.600000000000009</v>
      </c>
      <c r="T80" s="186">
        <f t="shared" si="15"/>
        <v>67.5</v>
      </c>
      <c r="U80" s="32">
        <f t="shared" si="15"/>
        <v>68.400000000000006</v>
      </c>
      <c r="V80" s="32">
        <f t="shared" si="15"/>
        <v>69.3</v>
      </c>
      <c r="W80" s="32">
        <f t="shared" si="15"/>
        <v>70.2</v>
      </c>
      <c r="X80" s="32">
        <f t="shared" si="15"/>
        <v>71.100000000000009</v>
      </c>
      <c r="Y80" s="32">
        <f t="shared" si="15"/>
        <v>72</v>
      </c>
      <c r="Z80" s="32">
        <f t="shared" si="15"/>
        <v>72.900000000000006</v>
      </c>
      <c r="AA80" s="32">
        <f t="shared" si="15"/>
        <v>73.8</v>
      </c>
      <c r="AB80" s="32">
        <f t="shared" si="15"/>
        <v>74.7</v>
      </c>
      <c r="AC80" s="32">
        <f t="shared" si="15"/>
        <v>75.600000000000009</v>
      </c>
      <c r="AD80" s="32">
        <f t="shared" si="15"/>
        <v>76.5</v>
      </c>
      <c r="AE80" s="32">
        <f t="shared" si="15"/>
        <v>77.400000000000006</v>
      </c>
      <c r="AF80" s="32">
        <f t="shared" si="15"/>
        <v>78.3</v>
      </c>
      <c r="AG80" s="32">
        <f t="shared" si="15"/>
        <v>79.2</v>
      </c>
      <c r="AH80" s="32">
        <f t="shared" si="14"/>
        <v>80.100000000000009</v>
      </c>
      <c r="AI80" s="32">
        <f t="shared" si="14"/>
        <v>81</v>
      </c>
      <c r="AJ80" s="32">
        <f t="shared" si="14"/>
        <v>81.900000000000006</v>
      </c>
      <c r="AK80" s="32">
        <f t="shared" si="14"/>
        <v>82.8</v>
      </c>
      <c r="AL80" s="32">
        <f t="shared" si="14"/>
        <v>83.7</v>
      </c>
      <c r="AM80" s="32">
        <f t="shared" si="13"/>
        <v>84.600000000000009</v>
      </c>
      <c r="AN80" s="32">
        <f t="shared" si="13"/>
        <v>85.5</v>
      </c>
      <c r="AO80" s="32">
        <f t="shared" si="13"/>
        <v>86.4</v>
      </c>
      <c r="AP80" s="32">
        <f t="shared" si="13"/>
        <v>87.3</v>
      </c>
      <c r="AQ80" s="32">
        <f t="shared" si="13"/>
        <v>88.2</v>
      </c>
      <c r="AR80" s="32">
        <f t="shared" si="13"/>
        <v>89.100000000000009</v>
      </c>
      <c r="AS80" s="32">
        <f t="shared" si="13"/>
        <v>90</v>
      </c>
      <c r="AT80" s="32">
        <f t="shared" si="13"/>
        <v>90.9</v>
      </c>
      <c r="AU80" s="32">
        <f t="shared" ref="AU80:AZ80" si="17">(AU$16-100+$B80/10)*0.9</f>
        <v>91.8</v>
      </c>
      <c r="AV80" s="32">
        <f t="shared" si="17"/>
        <v>92.7</v>
      </c>
      <c r="AW80" s="32">
        <f t="shared" si="17"/>
        <v>93.600000000000009</v>
      </c>
      <c r="AX80" s="32">
        <f t="shared" si="17"/>
        <v>94.5</v>
      </c>
      <c r="AY80" s="32">
        <f t="shared" si="17"/>
        <v>95.4</v>
      </c>
      <c r="AZ80" s="32">
        <f t="shared" si="17"/>
        <v>96.3</v>
      </c>
      <c r="BA80" s="16"/>
    </row>
    <row r="81" spans="1:53" hidden="1" x14ac:dyDescent="0.25">
      <c r="A81" s="16"/>
      <c r="B81" s="16"/>
      <c r="C81" s="16"/>
      <c r="D81" s="16"/>
      <c r="E81" s="16"/>
      <c r="F81" s="16"/>
      <c r="G81" s="16"/>
      <c r="H81" s="16"/>
      <c r="I81" s="16"/>
      <c r="J81" s="16"/>
      <c r="K81" s="16"/>
      <c r="L81" s="16"/>
      <c r="M81" s="16"/>
      <c r="N81" s="16"/>
      <c r="O81" s="16"/>
      <c r="P81" s="16"/>
      <c r="Q81" s="16"/>
      <c r="R81" s="16"/>
      <c r="S81" s="16"/>
      <c r="T81" s="4"/>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row>
    <row r="82" spans="1:53" ht="18.75" hidden="1" x14ac:dyDescent="0.3">
      <c r="A82" s="24" t="s">
        <v>246</v>
      </c>
      <c r="B82" s="16"/>
      <c r="C82" s="16"/>
      <c r="D82" s="16"/>
      <c r="E82" s="16"/>
      <c r="F82" s="25" t="e">
        <f>INDEX($B$84:$AZ$148,MATCH(#REF!,$B$84:$B$148,0),MATCH(#REF!,$B$84:$AZ$84,0))</f>
        <v>#REF!</v>
      </c>
      <c r="G82" s="16"/>
      <c r="H82" s="33" t="s">
        <v>247</v>
      </c>
      <c r="I82" s="16"/>
      <c r="J82" s="16"/>
      <c r="K82" s="16"/>
      <c r="L82" s="16"/>
      <c r="M82" s="16"/>
      <c r="N82" s="16"/>
      <c r="O82" s="16"/>
      <c r="P82" s="16"/>
      <c r="Q82" s="16"/>
      <c r="R82" s="16"/>
      <c r="S82" s="16"/>
      <c r="T82" s="4"/>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row>
    <row r="83" spans="1:53" hidden="1" x14ac:dyDescent="0.25">
      <c r="A83" s="16"/>
      <c r="B83" s="16"/>
      <c r="C83" s="16"/>
      <c r="D83" s="16"/>
      <c r="E83" s="16"/>
      <c r="F83" s="16"/>
      <c r="G83" s="16"/>
      <c r="H83" s="16"/>
      <c r="I83" s="16"/>
      <c r="J83" s="16"/>
      <c r="K83" s="16"/>
      <c r="L83" s="16"/>
      <c r="M83" s="16"/>
      <c r="N83" s="16"/>
      <c r="O83" s="16"/>
      <c r="P83" s="16"/>
      <c r="Q83" s="16"/>
      <c r="R83" s="16"/>
      <c r="S83" s="16"/>
      <c r="T83" s="4"/>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row>
    <row r="84" spans="1:53" hidden="1" x14ac:dyDescent="0.25">
      <c r="A84" s="27"/>
      <c r="B84" s="27"/>
      <c r="C84" s="28">
        <v>150</v>
      </c>
      <c r="D84" s="28">
        <v>151</v>
      </c>
      <c r="E84" s="28">
        <v>152</v>
      </c>
      <c r="F84" s="28">
        <v>153</v>
      </c>
      <c r="G84" s="28">
        <v>154</v>
      </c>
      <c r="H84" s="28">
        <v>155</v>
      </c>
      <c r="I84" s="28">
        <v>156</v>
      </c>
      <c r="J84" s="28">
        <v>157</v>
      </c>
      <c r="K84" s="28">
        <v>158</v>
      </c>
      <c r="L84" s="28">
        <v>159</v>
      </c>
      <c r="M84" s="28">
        <v>160</v>
      </c>
      <c r="N84" s="28">
        <v>161</v>
      </c>
      <c r="O84" s="28">
        <v>162</v>
      </c>
      <c r="P84" s="28">
        <v>163</v>
      </c>
      <c r="Q84" s="28">
        <v>164</v>
      </c>
      <c r="R84" s="28">
        <v>165</v>
      </c>
      <c r="S84" s="28">
        <v>166</v>
      </c>
      <c r="T84" s="184">
        <v>167</v>
      </c>
      <c r="U84" s="28">
        <v>168</v>
      </c>
      <c r="V84" s="28">
        <v>169</v>
      </c>
      <c r="W84" s="28">
        <v>170</v>
      </c>
      <c r="X84" s="28">
        <v>171</v>
      </c>
      <c r="Y84" s="28">
        <v>172</v>
      </c>
      <c r="Z84" s="28">
        <v>173</v>
      </c>
      <c r="AA84" s="28">
        <v>174</v>
      </c>
      <c r="AB84" s="28">
        <v>175</v>
      </c>
      <c r="AC84" s="28">
        <v>176</v>
      </c>
      <c r="AD84" s="28">
        <v>177</v>
      </c>
      <c r="AE84" s="28">
        <v>178</v>
      </c>
      <c r="AF84" s="28">
        <v>179</v>
      </c>
      <c r="AG84" s="28">
        <v>180</v>
      </c>
      <c r="AH84" s="28">
        <v>181</v>
      </c>
      <c r="AI84" s="28">
        <v>182</v>
      </c>
      <c r="AJ84" s="28">
        <v>183</v>
      </c>
      <c r="AK84" s="28">
        <v>184</v>
      </c>
      <c r="AL84" s="28">
        <v>185</v>
      </c>
      <c r="AM84" s="28">
        <v>186</v>
      </c>
      <c r="AN84" s="28">
        <v>187</v>
      </c>
      <c r="AO84" s="28">
        <v>188</v>
      </c>
      <c r="AP84" s="28">
        <v>189</v>
      </c>
      <c r="AQ84" s="28">
        <v>190</v>
      </c>
      <c r="AR84" s="28">
        <v>191</v>
      </c>
      <c r="AS84" s="28">
        <v>192</v>
      </c>
      <c r="AT84" s="28">
        <v>193</v>
      </c>
      <c r="AU84" s="28">
        <v>194</v>
      </c>
      <c r="AV84" s="28">
        <v>195</v>
      </c>
      <c r="AW84" s="28">
        <v>196</v>
      </c>
      <c r="AX84" s="28">
        <v>197</v>
      </c>
      <c r="AY84" s="28">
        <v>198</v>
      </c>
      <c r="AZ84" s="28">
        <v>199</v>
      </c>
      <c r="BA84" s="16"/>
    </row>
    <row r="85" spans="1:53" hidden="1" x14ac:dyDescent="0.25">
      <c r="A85" s="16"/>
      <c r="B85" s="16"/>
      <c r="C85" s="29" t="s">
        <v>195</v>
      </c>
      <c r="D85" s="29" t="s">
        <v>196</v>
      </c>
      <c r="E85" s="29" t="s">
        <v>197</v>
      </c>
      <c r="F85" s="29" t="s">
        <v>198</v>
      </c>
      <c r="G85" s="29" t="s">
        <v>199</v>
      </c>
      <c r="H85" s="29" t="s">
        <v>200</v>
      </c>
      <c r="I85" s="29" t="s">
        <v>201</v>
      </c>
      <c r="J85" s="29" t="s">
        <v>202</v>
      </c>
      <c r="K85" s="29" t="s">
        <v>203</v>
      </c>
      <c r="L85" s="29" t="s">
        <v>204</v>
      </c>
      <c r="M85" s="29" t="s">
        <v>205</v>
      </c>
      <c r="N85" s="29" t="s">
        <v>206</v>
      </c>
      <c r="O85" s="29" t="s">
        <v>207</v>
      </c>
      <c r="P85" s="29" t="s">
        <v>208</v>
      </c>
      <c r="Q85" s="29" t="s">
        <v>209</v>
      </c>
      <c r="R85" s="29" t="s">
        <v>210</v>
      </c>
      <c r="S85" s="29" t="s">
        <v>211</v>
      </c>
      <c r="T85" s="185" t="s">
        <v>212</v>
      </c>
      <c r="U85" s="29" t="s">
        <v>213</v>
      </c>
      <c r="V85" s="29" t="s">
        <v>214</v>
      </c>
      <c r="W85" s="29" t="s">
        <v>215</v>
      </c>
      <c r="X85" s="29" t="s">
        <v>216</v>
      </c>
      <c r="Y85" s="29" t="s">
        <v>217</v>
      </c>
      <c r="Z85" s="29" t="s">
        <v>218</v>
      </c>
      <c r="AA85" s="29" t="s">
        <v>219</v>
      </c>
      <c r="AB85" s="29" t="s">
        <v>220</v>
      </c>
      <c r="AC85" s="29" t="s">
        <v>221</v>
      </c>
      <c r="AD85" s="29" t="s">
        <v>222</v>
      </c>
      <c r="AE85" s="29" t="s">
        <v>223</v>
      </c>
      <c r="AF85" s="29" t="s">
        <v>224</v>
      </c>
      <c r="AG85" s="29" t="s">
        <v>225</v>
      </c>
      <c r="AH85" s="29" t="s">
        <v>226</v>
      </c>
      <c r="AI85" s="29" t="s">
        <v>227</v>
      </c>
      <c r="AJ85" s="29" t="s">
        <v>228</v>
      </c>
      <c r="AK85" s="29" t="s">
        <v>229</v>
      </c>
      <c r="AL85" s="29" t="s">
        <v>230</v>
      </c>
      <c r="AM85" s="29" t="s">
        <v>231</v>
      </c>
      <c r="AN85" s="29" t="s">
        <v>232</v>
      </c>
      <c r="AO85" s="29" t="s">
        <v>233</v>
      </c>
      <c r="AP85" s="29" t="s">
        <v>234</v>
      </c>
      <c r="AQ85" s="29" t="s">
        <v>235</v>
      </c>
      <c r="AR85" s="29" t="s">
        <v>236</v>
      </c>
      <c r="AS85" s="29" t="s">
        <v>237</v>
      </c>
      <c r="AT85" s="29" t="s">
        <v>238</v>
      </c>
      <c r="AU85" s="29" t="s">
        <v>239</v>
      </c>
      <c r="AV85" s="29" t="s">
        <v>240</v>
      </c>
      <c r="AW85" s="29" t="s">
        <v>241</v>
      </c>
      <c r="AX85" s="29" t="s">
        <v>242</v>
      </c>
      <c r="AY85" s="29" t="s">
        <v>243</v>
      </c>
      <c r="AZ85" s="29" t="s">
        <v>244</v>
      </c>
      <c r="BA85" s="16"/>
    </row>
    <row r="86" spans="1:53" hidden="1" x14ac:dyDescent="0.25">
      <c r="A86" s="30" t="s">
        <v>245</v>
      </c>
      <c r="B86" s="31">
        <v>18</v>
      </c>
      <c r="C86" s="32">
        <f>(C$16-100+$B86/10)*0.9*0.9</f>
        <v>41.957999999999998</v>
      </c>
      <c r="D86" s="32">
        <f t="shared" ref="D86:AL93" si="18">(D$16-100+$B86/10)*0.9*0.9</f>
        <v>42.768000000000001</v>
      </c>
      <c r="E86" s="32">
        <f t="shared" si="18"/>
        <v>43.578000000000003</v>
      </c>
      <c r="F86" s="32">
        <f t="shared" si="18"/>
        <v>44.387999999999998</v>
      </c>
      <c r="G86" s="32">
        <f t="shared" si="18"/>
        <v>45.198</v>
      </c>
      <c r="H86" s="32">
        <f t="shared" si="18"/>
        <v>46.007999999999996</v>
      </c>
      <c r="I86" s="32">
        <f t="shared" si="18"/>
        <v>46.817999999999998</v>
      </c>
      <c r="J86" s="32">
        <f t="shared" si="18"/>
        <v>47.628</v>
      </c>
      <c r="K86" s="32">
        <f t="shared" si="18"/>
        <v>48.438000000000002</v>
      </c>
      <c r="L86" s="32">
        <f t="shared" si="18"/>
        <v>49.247999999999998</v>
      </c>
      <c r="M86" s="32">
        <f t="shared" si="18"/>
        <v>50.058</v>
      </c>
      <c r="N86" s="32">
        <f t="shared" si="18"/>
        <v>50.867999999999995</v>
      </c>
      <c r="O86" s="32">
        <f t="shared" si="18"/>
        <v>51.678000000000004</v>
      </c>
      <c r="P86" s="32">
        <f t="shared" si="18"/>
        <v>52.488</v>
      </c>
      <c r="Q86" s="32">
        <f t="shared" si="18"/>
        <v>53.298000000000002</v>
      </c>
      <c r="R86" s="32">
        <f t="shared" si="18"/>
        <v>54.107999999999997</v>
      </c>
      <c r="S86" s="32">
        <f t="shared" si="18"/>
        <v>54.917999999999999</v>
      </c>
      <c r="T86" s="186">
        <f t="shared" si="18"/>
        <v>55.728000000000002</v>
      </c>
      <c r="U86" s="32">
        <f t="shared" si="18"/>
        <v>56.538000000000004</v>
      </c>
      <c r="V86" s="32">
        <f t="shared" si="18"/>
        <v>57.347999999999999</v>
      </c>
      <c r="W86" s="32">
        <f t="shared" si="18"/>
        <v>58.158000000000008</v>
      </c>
      <c r="X86" s="32">
        <f t="shared" si="18"/>
        <v>58.967999999999996</v>
      </c>
      <c r="Y86" s="32">
        <f t="shared" si="18"/>
        <v>59.778000000000006</v>
      </c>
      <c r="Z86" s="32">
        <f t="shared" si="18"/>
        <v>60.587999999999994</v>
      </c>
      <c r="AA86" s="32">
        <f t="shared" si="18"/>
        <v>61.398000000000003</v>
      </c>
      <c r="AB86" s="32">
        <f t="shared" si="18"/>
        <v>62.208000000000006</v>
      </c>
      <c r="AC86" s="32">
        <f t="shared" si="18"/>
        <v>63.018000000000001</v>
      </c>
      <c r="AD86" s="32">
        <f t="shared" si="18"/>
        <v>63.828000000000003</v>
      </c>
      <c r="AE86" s="32">
        <f t="shared" si="18"/>
        <v>64.637999999999991</v>
      </c>
      <c r="AF86" s="32">
        <f t="shared" si="18"/>
        <v>65.448000000000008</v>
      </c>
      <c r="AG86" s="32">
        <f t="shared" si="18"/>
        <v>66.25800000000001</v>
      </c>
      <c r="AH86" s="32">
        <f t="shared" si="18"/>
        <v>67.067999999999998</v>
      </c>
      <c r="AI86" s="32">
        <f t="shared" si="18"/>
        <v>67.878</v>
      </c>
      <c r="AJ86" s="32">
        <f t="shared" si="18"/>
        <v>68.688000000000002</v>
      </c>
      <c r="AK86" s="32">
        <f t="shared" si="18"/>
        <v>69.498000000000005</v>
      </c>
      <c r="AL86" s="32">
        <f t="shared" si="18"/>
        <v>70.308000000000007</v>
      </c>
      <c r="AM86" s="32">
        <f t="shared" ref="AM86:AZ101" si="19">(AM$16-100+$B86/10)*0.9*0.9</f>
        <v>71.117999999999995</v>
      </c>
      <c r="AN86" s="32">
        <f t="shared" si="19"/>
        <v>71.927999999999997</v>
      </c>
      <c r="AO86" s="32">
        <f t="shared" si="19"/>
        <v>72.738</v>
      </c>
      <c r="AP86" s="32">
        <f t="shared" si="19"/>
        <v>73.548000000000002</v>
      </c>
      <c r="AQ86" s="32">
        <f t="shared" si="19"/>
        <v>74.358000000000004</v>
      </c>
      <c r="AR86" s="32">
        <f t="shared" si="19"/>
        <v>75.167999999999992</v>
      </c>
      <c r="AS86" s="32">
        <f t="shared" si="19"/>
        <v>75.978000000000009</v>
      </c>
      <c r="AT86" s="32">
        <f t="shared" si="19"/>
        <v>76.787999999999997</v>
      </c>
      <c r="AU86" s="32">
        <f t="shared" si="19"/>
        <v>77.597999999999999</v>
      </c>
      <c r="AV86" s="32">
        <f t="shared" si="19"/>
        <v>78.408000000000001</v>
      </c>
      <c r="AW86" s="32">
        <f t="shared" si="19"/>
        <v>79.218000000000004</v>
      </c>
      <c r="AX86" s="32">
        <f t="shared" si="19"/>
        <v>80.028000000000006</v>
      </c>
      <c r="AY86" s="32">
        <f t="shared" si="19"/>
        <v>80.837999999999994</v>
      </c>
      <c r="AZ86" s="32">
        <f t="shared" si="19"/>
        <v>81.647999999999996</v>
      </c>
      <c r="BA86" s="16"/>
    </row>
    <row r="87" spans="1:53" hidden="1" x14ac:dyDescent="0.25">
      <c r="A87" s="16"/>
      <c r="B87" s="31">
        <v>19</v>
      </c>
      <c r="C87" s="32">
        <f t="shared" ref="C87:R109" si="20">(C$16-100+$B87/10)*0.9*0.9</f>
        <v>42.039000000000001</v>
      </c>
      <c r="D87" s="32">
        <f t="shared" si="18"/>
        <v>42.849000000000004</v>
      </c>
      <c r="E87" s="32">
        <f t="shared" si="18"/>
        <v>43.658999999999999</v>
      </c>
      <c r="F87" s="32">
        <f t="shared" si="18"/>
        <v>44.469000000000001</v>
      </c>
      <c r="G87" s="32">
        <f t="shared" si="18"/>
        <v>45.279000000000003</v>
      </c>
      <c r="H87" s="32">
        <f t="shared" si="18"/>
        <v>46.088999999999999</v>
      </c>
      <c r="I87" s="32">
        <f t="shared" si="18"/>
        <v>46.899000000000001</v>
      </c>
      <c r="J87" s="32">
        <f t="shared" si="18"/>
        <v>47.708999999999996</v>
      </c>
      <c r="K87" s="32">
        <f t="shared" si="18"/>
        <v>48.518999999999998</v>
      </c>
      <c r="L87" s="32">
        <f t="shared" si="18"/>
        <v>49.329000000000001</v>
      </c>
      <c r="M87" s="32">
        <f t="shared" si="18"/>
        <v>50.139000000000003</v>
      </c>
      <c r="N87" s="32">
        <f t="shared" si="18"/>
        <v>50.948999999999998</v>
      </c>
      <c r="O87" s="32">
        <f t="shared" si="18"/>
        <v>51.759</v>
      </c>
      <c r="P87" s="32">
        <f t="shared" si="18"/>
        <v>52.569000000000003</v>
      </c>
      <c r="Q87" s="32">
        <f t="shared" si="18"/>
        <v>53.379000000000012</v>
      </c>
      <c r="R87" s="32">
        <f t="shared" si="18"/>
        <v>54.189000000000007</v>
      </c>
      <c r="S87" s="32">
        <f t="shared" si="18"/>
        <v>54.999000000000009</v>
      </c>
      <c r="T87" s="186">
        <f t="shared" si="18"/>
        <v>55.809000000000005</v>
      </c>
      <c r="U87" s="32">
        <f t="shared" si="18"/>
        <v>56.619000000000007</v>
      </c>
      <c r="V87" s="32">
        <f t="shared" si="18"/>
        <v>57.429000000000009</v>
      </c>
      <c r="W87" s="32">
        <f t="shared" si="18"/>
        <v>58.239000000000011</v>
      </c>
      <c r="X87" s="32">
        <f t="shared" si="18"/>
        <v>59.049000000000014</v>
      </c>
      <c r="Y87" s="32">
        <f t="shared" si="18"/>
        <v>59.859000000000009</v>
      </c>
      <c r="Z87" s="32">
        <f t="shared" si="18"/>
        <v>60.669000000000011</v>
      </c>
      <c r="AA87" s="32">
        <f t="shared" si="18"/>
        <v>61.479000000000006</v>
      </c>
      <c r="AB87" s="32">
        <f t="shared" si="18"/>
        <v>62.289000000000009</v>
      </c>
      <c r="AC87" s="32">
        <f t="shared" si="18"/>
        <v>63.099000000000011</v>
      </c>
      <c r="AD87" s="32">
        <f t="shared" si="18"/>
        <v>63.909000000000006</v>
      </c>
      <c r="AE87" s="32">
        <f t="shared" si="18"/>
        <v>64.719000000000008</v>
      </c>
      <c r="AF87" s="32">
        <f t="shared" si="18"/>
        <v>65.529000000000011</v>
      </c>
      <c r="AG87" s="32">
        <f t="shared" si="18"/>
        <v>66.339000000000013</v>
      </c>
      <c r="AH87" s="32">
        <f t="shared" si="18"/>
        <v>67.149000000000015</v>
      </c>
      <c r="AI87" s="32">
        <f t="shared" si="18"/>
        <v>67.959000000000003</v>
      </c>
      <c r="AJ87" s="32">
        <f t="shared" si="18"/>
        <v>68.769000000000005</v>
      </c>
      <c r="AK87" s="32">
        <f t="shared" si="18"/>
        <v>69.579000000000008</v>
      </c>
      <c r="AL87" s="32">
        <f t="shared" si="18"/>
        <v>70.38900000000001</v>
      </c>
      <c r="AM87" s="32">
        <f t="shared" si="19"/>
        <v>71.199000000000012</v>
      </c>
      <c r="AN87" s="32">
        <f t="shared" si="19"/>
        <v>72.009</v>
      </c>
      <c r="AO87" s="32">
        <f t="shared" si="19"/>
        <v>72.819000000000017</v>
      </c>
      <c r="AP87" s="32">
        <f t="shared" si="19"/>
        <v>73.629000000000005</v>
      </c>
      <c r="AQ87" s="32">
        <f t="shared" si="19"/>
        <v>74.439000000000007</v>
      </c>
      <c r="AR87" s="32">
        <f t="shared" si="19"/>
        <v>75.249000000000009</v>
      </c>
      <c r="AS87" s="32">
        <f t="shared" si="19"/>
        <v>76.059000000000012</v>
      </c>
      <c r="AT87" s="32">
        <f t="shared" si="19"/>
        <v>76.869000000000014</v>
      </c>
      <c r="AU87" s="32">
        <f t="shared" si="19"/>
        <v>77.679000000000002</v>
      </c>
      <c r="AV87" s="32">
        <f t="shared" si="19"/>
        <v>78.489000000000004</v>
      </c>
      <c r="AW87" s="32">
        <f t="shared" si="19"/>
        <v>79.299000000000021</v>
      </c>
      <c r="AX87" s="32">
        <f t="shared" si="19"/>
        <v>80.109000000000009</v>
      </c>
      <c r="AY87" s="32">
        <f t="shared" si="19"/>
        <v>80.919000000000011</v>
      </c>
      <c r="AZ87" s="32">
        <f t="shared" si="19"/>
        <v>81.728999999999999</v>
      </c>
      <c r="BA87" s="16"/>
    </row>
    <row r="88" spans="1:53" hidden="1" x14ac:dyDescent="0.25">
      <c r="A88" s="16"/>
      <c r="B88" s="31">
        <v>20</v>
      </c>
      <c r="C88" s="32">
        <f t="shared" si="20"/>
        <v>42.120000000000005</v>
      </c>
      <c r="D88" s="32">
        <f t="shared" si="18"/>
        <v>42.930000000000007</v>
      </c>
      <c r="E88" s="32">
        <f t="shared" si="18"/>
        <v>43.74</v>
      </c>
      <c r="F88" s="32">
        <f t="shared" si="18"/>
        <v>44.550000000000004</v>
      </c>
      <c r="G88" s="32">
        <f t="shared" si="18"/>
        <v>45.36</v>
      </c>
      <c r="H88" s="32">
        <f t="shared" si="18"/>
        <v>46.17</v>
      </c>
      <c r="I88" s="32">
        <f t="shared" si="18"/>
        <v>46.980000000000004</v>
      </c>
      <c r="J88" s="32">
        <f t="shared" si="18"/>
        <v>47.79</v>
      </c>
      <c r="K88" s="32">
        <f t="shared" si="18"/>
        <v>48.6</v>
      </c>
      <c r="L88" s="32">
        <f t="shared" si="18"/>
        <v>49.41</v>
      </c>
      <c r="M88" s="32">
        <f t="shared" si="18"/>
        <v>50.220000000000006</v>
      </c>
      <c r="N88" s="32">
        <f t="shared" si="18"/>
        <v>51.03</v>
      </c>
      <c r="O88" s="32">
        <f t="shared" si="18"/>
        <v>51.84</v>
      </c>
      <c r="P88" s="32">
        <f t="shared" si="18"/>
        <v>52.65</v>
      </c>
      <c r="Q88" s="32">
        <f t="shared" si="18"/>
        <v>53.46</v>
      </c>
      <c r="R88" s="32">
        <f t="shared" si="18"/>
        <v>54.27</v>
      </c>
      <c r="S88" s="32">
        <f t="shared" si="18"/>
        <v>55.080000000000005</v>
      </c>
      <c r="T88" s="186">
        <f t="shared" si="18"/>
        <v>55.89</v>
      </c>
      <c r="U88" s="32">
        <f t="shared" si="18"/>
        <v>56.7</v>
      </c>
      <c r="V88" s="32">
        <f t="shared" si="18"/>
        <v>57.51</v>
      </c>
      <c r="W88" s="32">
        <f t="shared" si="18"/>
        <v>58.32</v>
      </c>
      <c r="X88" s="32">
        <f t="shared" si="18"/>
        <v>59.13</v>
      </c>
      <c r="Y88" s="32">
        <f t="shared" si="18"/>
        <v>59.940000000000012</v>
      </c>
      <c r="Z88" s="32">
        <f t="shared" si="18"/>
        <v>60.75</v>
      </c>
      <c r="AA88" s="32">
        <f t="shared" si="18"/>
        <v>61.560000000000009</v>
      </c>
      <c r="AB88" s="32">
        <f t="shared" si="18"/>
        <v>62.37</v>
      </c>
      <c r="AC88" s="32">
        <f t="shared" si="18"/>
        <v>63.180000000000007</v>
      </c>
      <c r="AD88" s="32">
        <f t="shared" si="18"/>
        <v>63.990000000000009</v>
      </c>
      <c r="AE88" s="32">
        <f t="shared" si="18"/>
        <v>64.8</v>
      </c>
      <c r="AF88" s="32">
        <f t="shared" si="18"/>
        <v>65.610000000000014</v>
      </c>
      <c r="AG88" s="32">
        <f t="shared" si="18"/>
        <v>66.42</v>
      </c>
      <c r="AH88" s="32">
        <f t="shared" si="18"/>
        <v>67.23</v>
      </c>
      <c r="AI88" s="32">
        <f t="shared" si="18"/>
        <v>68.040000000000006</v>
      </c>
      <c r="AJ88" s="32">
        <f t="shared" si="18"/>
        <v>68.850000000000009</v>
      </c>
      <c r="AK88" s="32">
        <f t="shared" si="18"/>
        <v>69.660000000000011</v>
      </c>
      <c r="AL88" s="32">
        <f t="shared" si="18"/>
        <v>70.47</v>
      </c>
      <c r="AM88" s="32">
        <f t="shared" si="19"/>
        <v>71.28</v>
      </c>
      <c r="AN88" s="32">
        <f t="shared" si="19"/>
        <v>72.09</v>
      </c>
      <c r="AO88" s="32">
        <f t="shared" si="19"/>
        <v>72.900000000000006</v>
      </c>
      <c r="AP88" s="32">
        <f t="shared" si="19"/>
        <v>73.710000000000008</v>
      </c>
      <c r="AQ88" s="32">
        <f t="shared" si="19"/>
        <v>74.52</v>
      </c>
      <c r="AR88" s="32">
        <f t="shared" si="19"/>
        <v>75.33</v>
      </c>
      <c r="AS88" s="32">
        <f t="shared" si="19"/>
        <v>76.140000000000015</v>
      </c>
      <c r="AT88" s="32">
        <f t="shared" si="19"/>
        <v>76.95</v>
      </c>
      <c r="AU88" s="32">
        <f t="shared" si="19"/>
        <v>77.760000000000005</v>
      </c>
      <c r="AV88" s="32">
        <f t="shared" si="19"/>
        <v>78.569999999999993</v>
      </c>
      <c r="AW88" s="32">
        <f t="shared" si="19"/>
        <v>79.38000000000001</v>
      </c>
      <c r="AX88" s="32">
        <f t="shared" si="19"/>
        <v>80.190000000000012</v>
      </c>
      <c r="AY88" s="32">
        <f t="shared" si="19"/>
        <v>81</v>
      </c>
      <c r="AZ88" s="32">
        <f t="shared" si="19"/>
        <v>81.81</v>
      </c>
      <c r="BA88" s="16"/>
    </row>
    <row r="89" spans="1:53" hidden="1" x14ac:dyDescent="0.25">
      <c r="A89" s="16"/>
      <c r="B89" s="31">
        <v>21</v>
      </c>
      <c r="C89" s="32">
        <f t="shared" si="20"/>
        <v>42.201000000000001</v>
      </c>
      <c r="D89" s="32">
        <f t="shared" si="18"/>
        <v>43.011000000000003</v>
      </c>
      <c r="E89" s="32">
        <f t="shared" si="18"/>
        <v>43.821000000000005</v>
      </c>
      <c r="F89" s="32">
        <f t="shared" si="18"/>
        <v>44.631000000000007</v>
      </c>
      <c r="G89" s="32">
        <f t="shared" si="18"/>
        <v>45.441000000000003</v>
      </c>
      <c r="H89" s="32">
        <f t="shared" si="18"/>
        <v>46.251000000000005</v>
      </c>
      <c r="I89" s="32">
        <f t="shared" si="18"/>
        <v>47.061</v>
      </c>
      <c r="J89" s="32">
        <f t="shared" si="18"/>
        <v>47.871000000000002</v>
      </c>
      <c r="K89" s="32">
        <f t="shared" si="18"/>
        <v>48.681000000000004</v>
      </c>
      <c r="L89" s="32">
        <f t="shared" si="18"/>
        <v>49.491</v>
      </c>
      <c r="M89" s="32">
        <f t="shared" si="18"/>
        <v>50.301000000000002</v>
      </c>
      <c r="N89" s="32">
        <f t="shared" si="18"/>
        <v>51.110999999999997</v>
      </c>
      <c r="O89" s="32">
        <f t="shared" si="18"/>
        <v>51.920999999999999</v>
      </c>
      <c r="P89" s="32">
        <f t="shared" si="18"/>
        <v>52.730999999999995</v>
      </c>
      <c r="Q89" s="32">
        <f t="shared" si="18"/>
        <v>53.540999999999997</v>
      </c>
      <c r="R89" s="32">
        <f t="shared" si="18"/>
        <v>54.350999999999992</v>
      </c>
      <c r="S89" s="32">
        <f t="shared" si="18"/>
        <v>55.161000000000001</v>
      </c>
      <c r="T89" s="186">
        <f t="shared" si="18"/>
        <v>55.970999999999997</v>
      </c>
      <c r="U89" s="32">
        <f t="shared" si="18"/>
        <v>56.780999999999999</v>
      </c>
      <c r="V89" s="32">
        <f t="shared" si="18"/>
        <v>57.590999999999994</v>
      </c>
      <c r="W89" s="32">
        <f t="shared" si="18"/>
        <v>58.401000000000003</v>
      </c>
      <c r="X89" s="32">
        <f t="shared" si="18"/>
        <v>59.210999999999991</v>
      </c>
      <c r="Y89" s="32">
        <f t="shared" si="18"/>
        <v>60.021000000000001</v>
      </c>
      <c r="Z89" s="32">
        <f t="shared" si="18"/>
        <v>60.831000000000003</v>
      </c>
      <c r="AA89" s="32">
        <f t="shared" si="18"/>
        <v>61.640999999999998</v>
      </c>
      <c r="AB89" s="32">
        <f t="shared" si="18"/>
        <v>62.451000000000001</v>
      </c>
      <c r="AC89" s="32">
        <f t="shared" si="18"/>
        <v>63.260999999999996</v>
      </c>
      <c r="AD89" s="32">
        <f t="shared" si="18"/>
        <v>64.070999999999998</v>
      </c>
      <c r="AE89" s="32">
        <f t="shared" si="18"/>
        <v>64.881</v>
      </c>
      <c r="AF89" s="32">
        <f t="shared" si="18"/>
        <v>65.691000000000003</v>
      </c>
      <c r="AG89" s="32">
        <f t="shared" si="18"/>
        <v>66.501000000000005</v>
      </c>
      <c r="AH89" s="32">
        <f t="shared" si="18"/>
        <v>67.310999999999993</v>
      </c>
      <c r="AI89" s="32">
        <f t="shared" si="18"/>
        <v>68.120999999999995</v>
      </c>
      <c r="AJ89" s="32">
        <f t="shared" si="18"/>
        <v>68.931000000000012</v>
      </c>
      <c r="AK89" s="32">
        <f t="shared" si="18"/>
        <v>69.741</v>
      </c>
      <c r="AL89" s="32">
        <f t="shared" si="18"/>
        <v>70.551000000000002</v>
      </c>
      <c r="AM89" s="32">
        <f t="shared" si="19"/>
        <v>71.36099999999999</v>
      </c>
      <c r="AN89" s="32">
        <f t="shared" si="19"/>
        <v>72.171000000000006</v>
      </c>
      <c r="AO89" s="32">
        <f t="shared" si="19"/>
        <v>72.981000000000009</v>
      </c>
      <c r="AP89" s="32">
        <f t="shared" si="19"/>
        <v>73.790999999999997</v>
      </c>
      <c r="AQ89" s="32">
        <f t="shared" si="19"/>
        <v>74.600999999999999</v>
      </c>
      <c r="AR89" s="32">
        <f t="shared" si="19"/>
        <v>75.411000000000001</v>
      </c>
      <c r="AS89" s="32">
        <f t="shared" si="19"/>
        <v>76.221000000000004</v>
      </c>
      <c r="AT89" s="32">
        <f t="shared" si="19"/>
        <v>77.031000000000006</v>
      </c>
      <c r="AU89" s="32">
        <f t="shared" si="19"/>
        <v>77.840999999999994</v>
      </c>
      <c r="AV89" s="32">
        <f t="shared" si="19"/>
        <v>78.650999999999996</v>
      </c>
      <c r="AW89" s="32">
        <f t="shared" si="19"/>
        <v>79.460999999999999</v>
      </c>
      <c r="AX89" s="32">
        <f t="shared" si="19"/>
        <v>80.271000000000001</v>
      </c>
      <c r="AY89" s="32">
        <f t="shared" si="19"/>
        <v>81.081000000000003</v>
      </c>
      <c r="AZ89" s="32">
        <f t="shared" si="19"/>
        <v>81.890999999999991</v>
      </c>
      <c r="BA89" s="16"/>
    </row>
    <row r="90" spans="1:53" hidden="1" x14ac:dyDescent="0.25">
      <c r="A90" s="16"/>
      <c r="B90" s="31">
        <v>22</v>
      </c>
      <c r="C90" s="32">
        <f t="shared" si="20"/>
        <v>42.282000000000004</v>
      </c>
      <c r="D90" s="32">
        <f t="shared" si="18"/>
        <v>43.092000000000006</v>
      </c>
      <c r="E90" s="32">
        <f t="shared" si="18"/>
        <v>43.902000000000001</v>
      </c>
      <c r="F90" s="32">
        <f t="shared" si="18"/>
        <v>44.71200000000001</v>
      </c>
      <c r="G90" s="32">
        <f t="shared" si="18"/>
        <v>45.522000000000006</v>
      </c>
      <c r="H90" s="32">
        <f t="shared" si="18"/>
        <v>46.332000000000008</v>
      </c>
      <c r="I90" s="32">
        <f t="shared" si="18"/>
        <v>47.142000000000003</v>
      </c>
      <c r="J90" s="32">
        <f t="shared" si="18"/>
        <v>47.952000000000005</v>
      </c>
      <c r="K90" s="32">
        <f t="shared" si="18"/>
        <v>48.762000000000008</v>
      </c>
      <c r="L90" s="32">
        <f t="shared" si="18"/>
        <v>49.572000000000003</v>
      </c>
      <c r="M90" s="32">
        <f t="shared" si="18"/>
        <v>50.382000000000005</v>
      </c>
      <c r="N90" s="32">
        <f t="shared" si="18"/>
        <v>51.192</v>
      </c>
      <c r="O90" s="32">
        <f t="shared" si="18"/>
        <v>52.002000000000002</v>
      </c>
      <c r="P90" s="32">
        <f t="shared" si="18"/>
        <v>52.812000000000005</v>
      </c>
      <c r="Q90" s="32">
        <f t="shared" si="18"/>
        <v>53.622000000000007</v>
      </c>
      <c r="R90" s="32">
        <f t="shared" si="18"/>
        <v>54.432000000000002</v>
      </c>
      <c r="S90" s="32">
        <f t="shared" si="18"/>
        <v>55.242000000000004</v>
      </c>
      <c r="T90" s="186">
        <f t="shared" si="18"/>
        <v>56.052</v>
      </c>
      <c r="U90" s="32">
        <f t="shared" si="18"/>
        <v>56.862000000000009</v>
      </c>
      <c r="V90" s="32">
        <f t="shared" si="18"/>
        <v>57.671999999999997</v>
      </c>
      <c r="W90" s="32">
        <f t="shared" si="18"/>
        <v>58.482000000000006</v>
      </c>
      <c r="X90" s="32">
        <f t="shared" si="18"/>
        <v>59.292000000000009</v>
      </c>
      <c r="Y90" s="32">
        <f t="shared" si="18"/>
        <v>60.102000000000004</v>
      </c>
      <c r="Z90" s="32">
        <f t="shared" si="18"/>
        <v>60.912000000000006</v>
      </c>
      <c r="AA90" s="32">
        <f t="shared" si="18"/>
        <v>61.722000000000001</v>
      </c>
      <c r="AB90" s="32">
        <f t="shared" si="18"/>
        <v>62.532000000000004</v>
      </c>
      <c r="AC90" s="32">
        <f t="shared" si="18"/>
        <v>63.342000000000013</v>
      </c>
      <c r="AD90" s="32">
        <f t="shared" si="18"/>
        <v>64.152000000000001</v>
      </c>
      <c r="AE90" s="32">
        <f t="shared" si="18"/>
        <v>64.962000000000003</v>
      </c>
      <c r="AF90" s="32">
        <f t="shared" si="18"/>
        <v>65.772000000000006</v>
      </c>
      <c r="AG90" s="32">
        <f t="shared" si="18"/>
        <v>66.582000000000008</v>
      </c>
      <c r="AH90" s="32">
        <f t="shared" si="18"/>
        <v>67.39200000000001</v>
      </c>
      <c r="AI90" s="32">
        <f t="shared" si="18"/>
        <v>68.201999999999998</v>
      </c>
      <c r="AJ90" s="32">
        <f t="shared" si="18"/>
        <v>69.012000000000015</v>
      </c>
      <c r="AK90" s="32">
        <f t="shared" si="18"/>
        <v>69.822000000000003</v>
      </c>
      <c r="AL90" s="32">
        <f t="shared" si="18"/>
        <v>70.632000000000005</v>
      </c>
      <c r="AM90" s="32">
        <f t="shared" si="19"/>
        <v>71.442000000000007</v>
      </c>
      <c r="AN90" s="32">
        <f t="shared" si="19"/>
        <v>72.25200000000001</v>
      </c>
      <c r="AO90" s="32">
        <f t="shared" si="19"/>
        <v>73.062000000000012</v>
      </c>
      <c r="AP90" s="32">
        <f t="shared" si="19"/>
        <v>73.872</v>
      </c>
      <c r="AQ90" s="32">
        <f t="shared" si="19"/>
        <v>74.682000000000002</v>
      </c>
      <c r="AR90" s="32">
        <f t="shared" si="19"/>
        <v>75.492000000000004</v>
      </c>
      <c r="AS90" s="32">
        <f t="shared" si="19"/>
        <v>76.302000000000007</v>
      </c>
      <c r="AT90" s="32">
        <f t="shared" si="19"/>
        <v>77.112000000000009</v>
      </c>
      <c r="AU90" s="32">
        <f t="shared" si="19"/>
        <v>77.921999999999997</v>
      </c>
      <c r="AV90" s="32">
        <f t="shared" si="19"/>
        <v>78.731999999999999</v>
      </c>
      <c r="AW90" s="32">
        <f t="shared" si="19"/>
        <v>79.542000000000016</v>
      </c>
      <c r="AX90" s="32">
        <f t="shared" si="19"/>
        <v>80.352000000000004</v>
      </c>
      <c r="AY90" s="32">
        <f t="shared" si="19"/>
        <v>81.162000000000006</v>
      </c>
      <c r="AZ90" s="32">
        <f t="shared" si="19"/>
        <v>81.971999999999994</v>
      </c>
      <c r="BA90" s="16"/>
    </row>
    <row r="91" spans="1:53" hidden="1" x14ac:dyDescent="0.25">
      <c r="A91" s="16"/>
      <c r="B91" s="31">
        <v>23</v>
      </c>
      <c r="C91" s="32">
        <f t="shared" si="20"/>
        <v>42.363</v>
      </c>
      <c r="D91" s="32">
        <f t="shared" si="18"/>
        <v>43.173000000000002</v>
      </c>
      <c r="E91" s="32">
        <f t="shared" si="18"/>
        <v>43.982999999999997</v>
      </c>
      <c r="F91" s="32">
        <f t="shared" si="18"/>
        <v>44.792999999999999</v>
      </c>
      <c r="G91" s="32">
        <f t="shared" si="18"/>
        <v>45.603000000000002</v>
      </c>
      <c r="H91" s="32">
        <f t="shared" si="18"/>
        <v>46.413000000000004</v>
      </c>
      <c r="I91" s="32">
        <f t="shared" si="18"/>
        <v>47.222999999999999</v>
      </c>
      <c r="J91" s="32">
        <f t="shared" si="18"/>
        <v>48.033000000000001</v>
      </c>
      <c r="K91" s="32">
        <f t="shared" si="18"/>
        <v>48.842999999999996</v>
      </c>
      <c r="L91" s="32">
        <f t="shared" si="18"/>
        <v>49.653000000000006</v>
      </c>
      <c r="M91" s="32">
        <f t="shared" si="18"/>
        <v>50.463000000000001</v>
      </c>
      <c r="N91" s="32">
        <f t="shared" si="18"/>
        <v>51.273000000000003</v>
      </c>
      <c r="O91" s="32">
        <f t="shared" si="18"/>
        <v>52.082999999999998</v>
      </c>
      <c r="P91" s="32">
        <f t="shared" si="18"/>
        <v>52.893000000000001</v>
      </c>
      <c r="Q91" s="32">
        <f t="shared" si="18"/>
        <v>53.703000000000003</v>
      </c>
      <c r="R91" s="32">
        <f t="shared" si="18"/>
        <v>54.512999999999998</v>
      </c>
      <c r="S91" s="32">
        <f t="shared" si="18"/>
        <v>55.323</v>
      </c>
      <c r="T91" s="186">
        <f t="shared" si="18"/>
        <v>56.132999999999996</v>
      </c>
      <c r="U91" s="32">
        <f t="shared" si="18"/>
        <v>56.942999999999998</v>
      </c>
      <c r="V91" s="32">
        <f t="shared" si="18"/>
        <v>57.753</v>
      </c>
      <c r="W91" s="32">
        <f t="shared" si="18"/>
        <v>58.562999999999995</v>
      </c>
      <c r="X91" s="32">
        <f t="shared" si="18"/>
        <v>59.372999999999998</v>
      </c>
      <c r="Y91" s="32">
        <f t="shared" si="18"/>
        <v>60.183000000000007</v>
      </c>
      <c r="Z91" s="32">
        <f t="shared" si="18"/>
        <v>60.992999999999995</v>
      </c>
      <c r="AA91" s="32">
        <f t="shared" si="18"/>
        <v>61.803000000000004</v>
      </c>
      <c r="AB91" s="32">
        <f t="shared" si="18"/>
        <v>62.612999999999992</v>
      </c>
      <c r="AC91" s="32">
        <f t="shared" si="18"/>
        <v>63.423000000000002</v>
      </c>
      <c r="AD91" s="32">
        <f t="shared" si="18"/>
        <v>64.233000000000004</v>
      </c>
      <c r="AE91" s="32">
        <f t="shared" si="18"/>
        <v>65.042999999999992</v>
      </c>
      <c r="AF91" s="32">
        <f t="shared" si="18"/>
        <v>65.853000000000009</v>
      </c>
      <c r="AG91" s="32">
        <f t="shared" si="18"/>
        <v>66.662999999999997</v>
      </c>
      <c r="AH91" s="32">
        <f t="shared" si="18"/>
        <v>67.472999999999999</v>
      </c>
      <c r="AI91" s="32">
        <f t="shared" si="18"/>
        <v>68.283000000000001</v>
      </c>
      <c r="AJ91" s="32">
        <f t="shared" si="18"/>
        <v>69.093000000000004</v>
      </c>
      <c r="AK91" s="32">
        <f t="shared" si="18"/>
        <v>69.903000000000006</v>
      </c>
      <c r="AL91" s="32">
        <f t="shared" si="18"/>
        <v>70.712999999999994</v>
      </c>
      <c r="AM91" s="32">
        <f t="shared" si="19"/>
        <v>71.522999999999996</v>
      </c>
      <c r="AN91" s="32">
        <f t="shared" si="19"/>
        <v>72.333000000000013</v>
      </c>
      <c r="AO91" s="32">
        <f t="shared" si="19"/>
        <v>73.143000000000001</v>
      </c>
      <c r="AP91" s="32">
        <f t="shared" si="19"/>
        <v>73.953000000000003</v>
      </c>
      <c r="AQ91" s="32">
        <f t="shared" si="19"/>
        <v>74.762999999999991</v>
      </c>
      <c r="AR91" s="32">
        <f t="shared" si="19"/>
        <v>75.573000000000008</v>
      </c>
      <c r="AS91" s="32">
        <f t="shared" si="19"/>
        <v>76.38300000000001</v>
      </c>
      <c r="AT91" s="32">
        <f t="shared" si="19"/>
        <v>77.192999999999998</v>
      </c>
      <c r="AU91" s="32">
        <f t="shared" si="19"/>
        <v>78.003</v>
      </c>
      <c r="AV91" s="32">
        <f t="shared" si="19"/>
        <v>78.813000000000002</v>
      </c>
      <c r="AW91" s="32">
        <f t="shared" si="19"/>
        <v>79.623000000000005</v>
      </c>
      <c r="AX91" s="32">
        <f t="shared" si="19"/>
        <v>80.433000000000007</v>
      </c>
      <c r="AY91" s="32">
        <f t="shared" si="19"/>
        <v>81.242999999999995</v>
      </c>
      <c r="AZ91" s="32">
        <f t="shared" si="19"/>
        <v>82.052999999999997</v>
      </c>
      <c r="BA91" s="16"/>
    </row>
    <row r="92" spans="1:53" hidden="1" x14ac:dyDescent="0.25">
      <c r="A92" s="16"/>
      <c r="B92" s="31">
        <v>24</v>
      </c>
      <c r="C92" s="32">
        <f t="shared" si="20"/>
        <v>42.443999999999996</v>
      </c>
      <c r="D92" s="32">
        <f t="shared" si="18"/>
        <v>43.254000000000005</v>
      </c>
      <c r="E92" s="32">
        <f t="shared" si="18"/>
        <v>44.064</v>
      </c>
      <c r="F92" s="32">
        <f t="shared" si="18"/>
        <v>44.874000000000002</v>
      </c>
      <c r="G92" s="32">
        <f t="shared" si="18"/>
        <v>45.683999999999997</v>
      </c>
      <c r="H92" s="32">
        <f t="shared" si="18"/>
        <v>46.494</v>
      </c>
      <c r="I92" s="32">
        <f t="shared" si="18"/>
        <v>47.304000000000002</v>
      </c>
      <c r="J92" s="32">
        <f t="shared" si="18"/>
        <v>48.114000000000004</v>
      </c>
      <c r="K92" s="32">
        <f t="shared" si="18"/>
        <v>48.923999999999999</v>
      </c>
      <c r="L92" s="32">
        <f t="shared" si="18"/>
        <v>49.734000000000002</v>
      </c>
      <c r="M92" s="32">
        <f t="shared" si="18"/>
        <v>50.543999999999997</v>
      </c>
      <c r="N92" s="32">
        <f t="shared" si="18"/>
        <v>51.354000000000006</v>
      </c>
      <c r="O92" s="32">
        <f t="shared" si="18"/>
        <v>52.164000000000009</v>
      </c>
      <c r="P92" s="32">
        <f t="shared" si="18"/>
        <v>52.974000000000004</v>
      </c>
      <c r="Q92" s="32">
        <f t="shared" si="18"/>
        <v>53.784000000000006</v>
      </c>
      <c r="R92" s="32">
        <f t="shared" si="18"/>
        <v>54.594000000000001</v>
      </c>
      <c r="S92" s="32">
        <f t="shared" si="18"/>
        <v>55.404000000000011</v>
      </c>
      <c r="T92" s="186">
        <f t="shared" si="18"/>
        <v>56.214000000000006</v>
      </c>
      <c r="U92" s="32">
        <f t="shared" si="18"/>
        <v>57.024000000000008</v>
      </c>
      <c r="V92" s="32">
        <f t="shared" si="18"/>
        <v>57.834000000000003</v>
      </c>
      <c r="W92" s="32">
        <f t="shared" si="18"/>
        <v>58.644000000000013</v>
      </c>
      <c r="X92" s="32">
        <f t="shared" si="18"/>
        <v>59.454000000000001</v>
      </c>
      <c r="Y92" s="32">
        <f t="shared" si="18"/>
        <v>60.26400000000001</v>
      </c>
      <c r="Z92" s="32">
        <f t="shared" si="18"/>
        <v>61.074000000000012</v>
      </c>
      <c r="AA92" s="32">
        <f t="shared" si="18"/>
        <v>61.884000000000007</v>
      </c>
      <c r="AB92" s="32">
        <f t="shared" si="18"/>
        <v>62.69400000000001</v>
      </c>
      <c r="AC92" s="32">
        <f t="shared" si="18"/>
        <v>63.504000000000005</v>
      </c>
      <c r="AD92" s="32">
        <f t="shared" si="18"/>
        <v>64.314000000000007</v>
      </c>
      <c r="AE92" s="32">
        <f t="shared" si="18"/>
        <v>65.124000000000009</v>
      </c>
      <c r="AF92" s="32">
        <f t="shared" si="18"/>
        <v>65.934000000000012</v>
      </c>
      <c r="AG92" s="32">
        <f t="shared" si="18"/>
        <v>66.744000000000014</v>
      </c>
      <c r="AH92" s="32">
        <f t="shared" si="18"/>
        <v>67.554000000000002</v>
      </c>
      <c r="AI92" s="32">
        <f t="shared" si="18"/>
        <v>68.364000000000004</v>
      </c>
      <c r="AJ92" s="32">
        <f t="shared" si="18"/>
        <v>69.174000000000021</v>
      </c>
      <c r="AK92" s="32">
        <f t="shared" si="18"/>
        <v>69.984000000000009</v>
      </c>
      <c r="AL92" s="32">
        <f t="shared" si="18"/>
        <v>70.794000000000011</v>
      </c>
      <c r="AM92" s="32">
        <f t="shared" si="19"/>
        <v>71.603999999999999</v>
      </c>
      <c r="AN92" s="32">
        <f t="shared" si="19"/>
        <v>72.414000000000016</v>
      </c>
      <c r="AO92" s="32">
        <f t="shared" si="19"/>
        <v>73.224000000000018</v>
      </c>
      <c r="AP92" s="32">
        <f t="shared" si="19"/>
        <v>74.034000000000006</v>
      </c>
      <c r="AQ92" s="32">
        <f t="shared" si="19"/>
        <v>74.844000000000008</v>
      </c>
      <c r="AR92" s="32">
        <f t="shared" si="19"/>
        <v>75.654000000000011</v>
      </c>
      <c r="AS92" s="32">
        <f t="shared" si="19"/>
        <v>76.464000000000013</v>
      </c>
      <c r="AT92" s="32">
        <f t="shared" si="19"/>
        <v>77.274000000000015</v>
      </c>
      <c r="AU92" s="32">
        <f t="shared" si="19"/>
        <v>78.084000000000003</v>
      </c>
      <c r="AV92" s="32">
        <f t="shared" si="19"/>
        <v>78.894000000000005</v>
      </c>
      <c r="AW92" s="32">
        <f t="shared" si="19"/>
        <v>79.704000000000008</v>
      </c>
      <c r="AX92" s="32">
        <f t="shared" si="19"/>
        <v>80.51400000000001</v>
      </c>
      <c r="AY92" s="32">
        <f t="shared" si="19"/>
        <v>81.324000000000012</v>
      </c>
      <c r="AZ92" s="32">
        <f t="shared" si="19"/>
        <v>82.134</v>
      </c>
      <c r="BA92" s="16"/>
    </row>
    <row r="93" spans="1:53" hidden="1" x14ac:dyDescent="0.25">
      <c r="A93" s="16"/>
      <c r="B93" s="31">
        <v>25</v>
      </c>
      <c r="C93" s="32">
        <f t="shared" si="20"/>
        <v>42.524999999999999</v>
      </c>
      <c r="D93" s="32">
        <f t="shared" si="18"/>
        <v>43.335000000000001</v>
      </c>
      <c r="E93" s="32">
        <f t="shared" si="18"/>
        <v>44.145000000000003</v>
      </c>
      <c r="F93" s="32">
        <f t="shared" si="18"/>
        <v>44.955000000000005</v>
      </c>
      <c r="G93" s="32">
        <f t="shared" si="18"/>
        <v>45.765000000000001</v>
      </c>
      <c r="H93" s="32">
        <f t="shared" si="18"/>
        <v>46.575000000000003</v>
      </c>
      <c r="I93" s="32">
        <f t="shared" si="18"/>
        <v>47.384999999999998</v>
      </c>
      <c r="J93" s="32">
        <f t="shared" si="18"/>
        <v>48.195000000000007</v>
      </c>
      <c r="K93" s="32">
        <f t="shared" si="18"/>
        <v>49.005000000000003</v>
      </c>
      <c r="L93" s="32">
        <f t="shared" si="18"/>
        <v>49.815000000000005</v>
      </c>
      <c r="M93" s="32">
        <f t="shared" si="18"/>
        <v>50.625</v>
      </c>
      <c r="N93" s="32">
        <f t="shared" ref="N93:AC124" si="21">(N$16-100+$B93/10)*0.9*0.9</f>
        <v>51.435000000000002</v>
      </c>
      <c r="O93" s="32">
        <f t="shared" si="21"/>
        <v>52.245000000000005</v>
      </c>
      <c r="P93" s="32">
        <f t="shared" si="21"/>
        <v>53.055000000000007</v>
      </c>
      <c r="Q93" s="32">
        <f t="shared" si="21"/>
        <v>53.865000000000002</v>
      </c>
      <c r="R93" s="32">
        <f t="shared" si="21"/>
        <v>54.675000000000004</v>
      </c>
      <c r="S93" s="32">
        <f t="shared" si="21"/>
        <v>55.484999999999999</v>
      </c>
      <c r="T93" s="186">
        <f t="shared" si="21"/>
        <v>56.295000000000002</v>
      </c>
      <c r="U93" s="32">
        <f t="shared" si="21"/>
        <v>57.105000000000004</v>
      </c>
      <c r="V93" s="32">
        <f t="shared" si="21"/>
        <v>57.915000000000006</v>
      </c>
      <c r="W93" s="32">
        <f t="shared" si="21"/>
        <v>58.725000000000001</v>
      </c>
      <c r="X93" s="32">
        <f t="shared" si="21"/>
        <v>59.535000000000004</v>
      </c>
      <c r="Y93" s="32">
        <f t="shared" si="21"/>
        <v>60.344999999999999</v>
      </c>
      <c r="Z93" s="32">
        <f t="shared" si="21"/>
        <v>61.155000000000001</v>
      </c>
      <c r="AA93" s="32">
        <f t="shared" si="21"/>
        <v>61.965000000000011</v>
      </c>
      <c r="AB93" s="32">
        <f t="shared" si="21"/>
        <v>62.774999999999999</v>
      </c>
      <c r="AC93" s="32">
        <f t="shared" si="21"/>
        <v>63.585000000000008</v>
      </c>
      <c r="AD93" s="32">
        <f t="shared" ref="AD93:AS112" si="22">(AD$16-100+$B93/10)*0.9*0.9</f>
        <v>64.394999999999996</v>
      </c>
      <c r="AE93" s="32">
        <f t="shared" si="22"/>
        <v>65.204999999999998</v>
      </c>
      <c r="AF93" s="32">
        <f t="shared" si="22"/>
        <v>66.015000000000015</v>
      </c>
      <c r="AG93" s="32">
        <f t="shared" si="22"/>
        <v>66.825000000000003</v>
      </c>
      <c r="AH93" s="32">
        <f t="shared" si="22"/>
        <v>67.635000000000005</v>
      </c>
      <c r="AI93" s="32">
        <f t="shared" si="22"/>
        <v>68.444999999999993</v>
      </c>
      <c r="AJ93" s="32">
        <f t="shared" si="22"/>
        <v>69.25500000000001</v>
      </c>
      <c r="AK93" s="32">
        <f t="shared" si="22"/>
        <v>70.065000000000012</v>
      </c>
      <c r="AL93" s="32">
        <f t="shared" si="22"/>
        <v>70.875</v>
      </c>
      <c r="AM93" s="32">
        <f t="shared" si="19"/>
        <v>71.685000000000002</v>
      </c>
      <c r="AN93" s="32">
        <f t="shared" si="19"/>
        <v>72.495000000000005</v>
      </c>
      <c r="AO93" s="32">
        <f t="shared" si="19"/>
        <v>73.305000000000007</v>
      </c>
      <c r="AP93" s="32">
        <f t="shared" si="19"/>
        <v>74.115000000000009</v>
      </c>
      <c r="AQ93" s="32">
        <f t="shared" si="19"/>
        <v>74.924999999999997</v>
      </c>
      <c r="AR93" s="32">
        <f t="shared" si="19"/>
        <v>75.735000000000014</v>
      </c>
      <c r="AS93" s="32">
        <f t="shared" si="19"/>
        <v>76.545000000000002</v>
      </c>
      <c r="AT93" s="32">
        <f t="shared" si="19"/>
        <v>77.355000000000004</v>
      </c>
      <c r="AU93" s="32">
        <f t="shared" si="19"/>
        <v>78.165000000000006</v>
      </c>
      <c r="AV93" s="32">
        <f t="shared" si="19"/>
        <v>78.975000000000009</v>
      </c>
      <c r="AW93" s="32">
        <f t="shared" si="19"/>
        <v>79.785000000000011</v>
      </c>
      <c r="AX93" s="32">
        <f t="shared" si="19"/>
        <v>80.594999999999999</v>
      </c>
      <c r="AY93" s="32">
        <f t="shared" si="19"/>
        <v>81.405000000000001</v>
      </c>
      <c r="AZ93" s="32">
        <f t="shared" si="19"/>
        <v>82.215000000000003</v>
      </c>
      <c r="BA93" s="16"/>
    </row>
    <row r="94" spans="1:53" hidden="1" x14ac:dyDescent="0.25">
      <c r="A94" s="16"/>
      <c r="B94" s="31">
        <v>26</v>
      </c>
      <c r="C94" s="32">
        <f t="shared" si="20"/>
        <v>42.606000000000002</v>
      </c>
      <c r="D94" s="32">
        <f t="shared" si="20"/>
        <v>43.416000000000004</v>
      </c>
      <c r="E94" s="32">
        <f t="shared" si="20"/>
        <v>44.225999999999999</v>
      </c>
      <c r="F94" s="32">
        <f t="shared" si="20"/>
        <v>45.036000000000001</v>
      </c>
      <c r="G94" s="32">
        <f t="shared" si="20"/>
        <v>45.846000000000004</v>
      </c>
      <c r="H94" s="32">
        <f t="shared" si="20"/>
        <v>46.656000000000006</v>
      </c>
      <c r="I94" s="32">
        <f t="shared" si="20"/>
        <v>47.466000000000001</v>
      </c>
      <c r="J94" s="32">
        <f t="shared" si="20"/>
        <v>48.276000000000003</v>
      </c>
      <c r="K94" s="32">
        <f t="shared" si="20"/>
        <v>49.085999999999999</v>
      </c>
      <c r="L94" s="32">
        <f t="shared" si="20"/>
        <v>49.896000000000008</v>
      </c>
      <c r="M94" s="32">
        <f t="shared" si="20"/>
        <v>50.706000000000003</v>
      </c>
      <c r="N94" s="32">
        <f t="shared" si="20"/>
        <v>51.516000000000005</v>
      </c>
      <c r="O94" s="32">
        <f t="shared" si="20"/>
        <v>52.325999999999993</v>
      </c>
      <c r="P94" s="32">
        <f t="shared" si="20"/>
        <v>53.136000000000003</v>
      </c>
      <c r="Q94" s="32">
        <f t="shared" si="20"/>
        <v>53.945999999999998</v>
      </c>
      <c r="R94" s="32">
        <f t="shared" si="20"/>
        <v>54.756</v>
      </c>
      <c r="S94" s="32">
        <f t="shared" si="21"/>
        <v>55.565999999999995</v>
      </c>
      <c r="T94" s="186">
        <f t="shared" si="21"/>
        <v>56.375999999999998</v>
      </c>
      <c r="U94" s="32">
        <f t="shared" si="21"/>
        <v>57.186</v>
      </c>
      <c r="V94" s="32">
        <f t="shared" si="21"/>
        <v>57.996000000000002</v>
      </c>
      <c r="W94" s="32">
        <f t="shared" si="21"/>
        <v>58.806000000000004</v>
      </c>
      <c r="X94" s="32">
        <f t="shared" si="21"/>
        <v>59.616</v>
      </c>
      <c r="Y94" s="32">
        <f t="shared" si="21"/>
        <v>60.426000000000002</v>
      </c>
      <c r="Z94" s="32">
        <f t="shared" si="21"/>
        <v>61.235999999999997</v>
      </c>
      <c r="AA94" s="32">
        <f t="shared" si="21"/>
        <v>62.045999999999999</v>
      </c>
      <c r="AB94" s="32">
        <f t="shared" si="21"/>
        <v>62.856000000000002</v>
      </c>
      <c r="AC94" s="32">
        <f t="shared" si="21"/>
        <v>63.665999999999997</v>
      </c>
      <c r="AD94" s="32">
        <f t="shared" si="22"/>
        <v>64.475999999999999</v>
      </c>
      <c r="AE94" s="32">
        <f t="shared" si="22"/>
        <v>65.286000000000001</v>
      </c>
      <c r="AF94" s="32">
        <f t="shared" si="22"/>
        <v>66.096000000000004</v>
      </c>
      <c r="AG94" s="32">
        <f t="shared" si="22"/>
        <v>66.906000000000006</v>
      </c>
      <c r="AH94" s="32">
        <f t="shared" si="22"/>
        <v>67.715999999999994</v>
      </c>
      <c r="AI94" s="32">
        <f t="shared" si="22"/>
        <v>68.525999999999996</v>
      </c>
      <c r="AJ94" s="32">
        <f t="shared" si="22"/>
        <v>69.335999999999999</v>
      </c>
      <c r="AK94" s="32">
        <f t="shared" si="22"/>
        <v>70.146000000000001</v>
      </c>
      <c r="AL94" s="32">
        <f t="shared" si="22"/>
        <v>70.956000000000003</v>
      </c>
      <c r="AM94" s="32">
        <f t="shared" si="19"/>
        <v>71.765999999999991</v>
      </c>
      <c r="AN94" s="32">
        <f t="shared" si="19"/>
        <v>72.576000000000008</v>
      </c>
      <c r="AO94" s="32">
        <f t="shared" si="19"/>
        <v>73.385999999999996</v>
      </c>
      <c r="AP94" s="32">
        <f t="shared" si="19"/>
        <v>74.195999999999998</v>
      </c>
      <c r="AQ94" s="32">
        <f t="shared" si="19"/>
        <v>75.006</v>
      </c>
      <c r="AR94" s="32">
        <f t="shared" si="19"/>
        <v>75.816000000000003</v>
      </c>
      <c r="AS94" s="32">
        <f t="shared" si="19"/>
        <v>76.626000000000005</v>
      </c>
      <c r="AT94" s="32">
        <f t="shared" si="19"/>
        <v>77.435999999999993</v>
      </c>
      <c r="AU94" s="32">
        <f t="shared" si="19"/>
        <v>78.245999999999995</v>
      </c>
      <c r="AV94" s="32">
        <f t="shared" si="19"/>
        <v>79.056000000000012</v>
      </c>
      <c r="AW94" s="32">
        <f t="shared" si="19"/>
        <v>79.866</v>
      </c>
      <c r="AX94" s="32">
        <f t="shared" si="19"/>
        <v>80.676000000000002</v>
      </c>
      <c r="AY94" s="32">
        <f t="shared" si="19"/>
        <v>81.48599999999999</v>
      </c>
      <c r="AZ94" s="32">
        <f t="shared" si="19"/>
        <v>82.296000000000006</v>
      </c>
      <c r="BA94" s="16"/>
    </row>
    <row r="95" spans="1:53" hidden="1" x14ac:dyDescent="0.25">
      <c r="A95" s="16"/>
      <c r="B95" s="31">
        <v>27</v>
      </c>
      <c r="C95" s="32">
        <f t="shared" si="20"/>
        <v>42.687000000000005</v>
      </c>
      <c r="D95" s="32">
        <f t="shared" si="20"/>
        <v>43.497000000000007</v>
      </c>
      <c r="E95" s="32">
        <f t="shared" si="20"/>
        <v>44.307000000000002</v>
      </c>
      <c r="F95" s="32">
        <f t="shared" si="20"/>
        <v>45.117000000000004</v>
      </c>
      <c r="G95" s="32">
        <f t="shared" si="20"/>
        <v>45.927</v>
      </c>
      <c r="H95" s="32">
        <f t="shared" si="20"/>
        <v>46.737000000000009</v>
      </c>
      <c r="I95" s="32">
        <f t="shared" si="20"/>
        <v>47.547000000000004</v>
      </c>
      <c r="J95" s="32">
        <f t="shared" si="20"/>
        <v>48.357000000000006</v>
      </c>
      <c r="K95" s="32">
        <f t="shared" si="20"/>
        <v>49.167000000000002</v>
      </c>
      <c r="L95" s="32">
        <f t="shared" si="20"/>
        <v>49.977000000000004</v>
      </c>
      <c r="M95" s="32">
        <f t="shared" si="20"/>
        <v>50.787000000000006</v>
      </c>
      <c r="N95" s="32">
        <f t="shared" si="20"/>
        <v>51.597000000000008</v>
      </c>
      <c r="O95" s="32">
        <f t="shared" si="20"/>
        <v>52.407000000000004</v>
      </c>
      <c r="P95" s="32">
        <f t="shared" si="20"/>
        <v>53.217000000000006</v>
      </c>
      <c r="Q95" s="32">
        <f t="shared" si="20"/>
        <v>54.027000000000001</v>
      </c>
      <c r="R95" s="32">
        <f t="shared" si="20"/>
        <v>54.83700000000001</v>
      </c>
      <c r="S95" s="32">
        <f t="shared" si="21"/>
        <v>55.647000000000006</v>
      </c>
      <c r="T95" s="186">
        <f t="shared" si="21"/>
        <v>56.457000000000008</v>
      </c>
      <c r="U95" s="32">
        <f t="shared" si="21"/>
        <v>57.267000000000003</v>
      </c>
      <c r="V95" s="32">
        <f t="shared" si="21"/>
        <v>58.077000000000005</v>
      </c>
      <c r="W95" s="32">
        <f t="shared" si="21"/>
        <v>58.887000000000008</v>
      </c>
      <c r="X95" s="32">
        <f t="shared" si="21"/>
        <v>59.697000000000003</v>
      </c>
      <c r="Y95" s="32">
        <f t="shared" si="21"/>
        <v>60.507000000000005</v>
      </c>
      <c r="Z95" s="32">
        <f t="shared" si="21"/>
        <v>61.317000000000007</v>
      </c>
      <c r="AA95" s="32">
        <f t="shared" si="21"/>
        <v>62.127000000000002</v>
      </c>
      <c r="AB95" s="32">
        <f t="shared" si="21"/>
        <v>62.937000000000005</v>
      </c>
      <c r="AC95" s="32">
        <f t="shared" si="21"/>
        <v>63.747</v>
      </c>
      <c r="AD95" s="32">
        <f t="shared" si="22"/>
        <v>64.557000000000002</v>
      </c>
      <c r="AE95" s="32">
        <f t="shared" si="22"/>
        <v>65.367000000000004</v>
      </c>
      <c r="AF95" s="32">
        <f t="shared" si="22"/>
        <v>66.177000000000007</v>
      </c>
      <c r="AG95" s="32">
        <f t="shared" si="22"/>
        <v>66.987000000000009</v>
      </c>
      <c r="AH95" s="32">
        <f t="shared" si="22"/>
        <v>67.796999999999997</v>
      </c>
      <c r="AI95" s="32">
        <f t="shared" si="22"/>
        <v>68.606999999999999</v>
      </c>
      <c r="AJ95" s="32">
        <f t="shared" si="22"/>
        <v>69.417000000000016</v>
      </c>
      <c r="AK95" s="32">
        <f t="shared" si="22"/>
        <v>70.227000000000004</v>
      </c>
      <c r="AL95" s="32">
        <f t="shared" si="22"/>
        <v>71.037000000000006</v>
      </c>
      <c r="AM95" s="32">
        <f t="shared" si="19"/>
        <v>71.846999999999994</v>
      </c>
      <c r="AN95" s="32">
        <f t="shared" si="19"/>
        <v>72.657000000000011</v>
      </c>
      <c r="AO95" s="32">
        <f t="shared" si="19"/>
        <v>73.467000000000013</v>
      </c>
      <c r="AP95" s="32">
        <f t="shared" si="19"/>
        <v>74.277000000000001</v>
      </c>
      <c r="AQ95" s="32">
        <f t="shared" si="19"/>
        <v>75.087000000000003</v>
      </c>
      <c r="AR95" s="32">
        <f t="shared" si="19"/>
        <v>75.897000000000006</v>
      </c>
      <c r="AS95" s="32">
        <f t="shared" si="19"/>
        <v>76.707000000000008</v>
      </c>
      <c r="AT95" s="32">
        <f t="shared" si="19"/>
        <v>77.51700000000001</v>
      </c>
      <c r="AU95" s="32">
        <f t="shared" si="19"/>
        <v>78.326999999999998</v>
      </c>
      <c r="AV95" s="32">
        <f t="shared" si="19"/>
        <v>79.137000000000015</v>
      </c>
      <c r="AW95" s="32">
        <f t="shared" si="19"/>
        <v>79.947000000000003</v>
      </c>
      <c r="AX95" s="32">
        <f t="shared" si="19"/>
        <v>80.757000000000005</v>
      </c>
      <c r="AY95" s="32">
        <f t="shared" si="19"/>
        <v>81.567000000000007</v>
      </c>
      <c r="AZ95" s="32">
        <f t="shared" si="19"/>
        <v>82.37700000000001</v>
      </c>
      <c r="BA95" s="16"/>
    </row>
    <row r="96" spans="1:53" hidden="1" x14ac:dyDescent="0.25">
      <c r="A96" s="16"/>
      <c r="B96" s="31">
        <v>28</v>
      </c>
      <c r="C96" s="32">
        <f t="shared" si="20"/>
        <v>42.768000000000001</v>
      </c>
      <c r="D96" s="32">
        <f t="shared" si="20"/>
        <v>43.578000000000003</v>
      </c>
      <c r="E96" s="32">
        <f t="shared" si="20"/>
        <v>44.387999999999998</v>
      </c>
      <c r="F96" s="32">
        <f t="shared" si="20"/>
        <v>45.198</v>
      </c>
      <c r="G96" s="32">
        <f t="shared" si="20"/>
        <v>46.007999999999996</v>
      </c>
      <c r="H96" s="32">
        <f t="shared" si="20"/>
        <v>46.817999999999998</v>
      </c>
      <c r="I96" s="32">
        <f t="shared" si="20"/>
        <v>47.628</v>
      </c>
      <c r="J96" s="32">
        <f t="shared" si="20"/>
        <v>48.438000000000002</v>
      </c>
      <c r="K96" s="32">
        <f t="shared" si="20"/>
        <v>49.247999999999998</v>
      </c>
      <c r="L96" s="32">
        <f t="shared" si="20"/>
        <v>50.058</v>
      </c>
      <c r="M96" s="32">
        <f t="shared" si="20"/>
        <v>50.867999999999995</v>
      </c>
      <c r="N96" s="32">
        <f t="shared" si="20"/>
        <v>51.678000000000004</v>
      </c>
      <c r="O96" s="32">
        <f t="shared" si="20"/>
        <v>52.488</v>
      </c>
      <c r="P96" s="32">
        <f t="shared" si="20"/>
        <v>53.298000000000002</v>
      </c>
      <c r="Q96" s="32">
        <f t="shared" si="20"/>
        <v>54.107999999999997</v>
      </c>
      <c r="R96" s="32">
        <f t="shared" si="20"/>
        <v>54.917999999999999</v>
      </c>
      <c r="S96" s="32">
        <f t="shared" si="21"/>
        <v>55.728000000000002</v>
      </c>
      <c r="T96" s="186">
        <f t="shared" si="21"/>
        <v>56.538000000000004</v>
      </c>
      <c r="U96" s="32">
        <f t="shared" si="21"/>
        <v>57.347999999999999</v>
      </c>
      <c r="V96" s="32">
        <f t="shared" si="21"/>
        <v>58.158000000000008</v>
      </c>
      <c r="W96" s="32">
        <f t="shared" si="21"/>
        <v>58.967999999999996</v>
      </c>
      <c r="X96" s="32">
        <f t="shared" si="21"/>
        <v>59.778000000000006</v>
      </c>
      <c r="Y96" s="32">
        <f t="shared" si="21"/>
        <v>60.587999999999994</v>
      </c>
      <c r="Z96" s="32">
        <f t="shared" si="21"/>
        <v>61.398000000000003</v>
      </c>
      <c r="AA96" s="32">
        <f t="shared" si="21"/>
        <v>62.208000000000006</v>
      </c>
      <c r="AB96" s="32">
        <f t="shared" si="21"/>
        <v>63.018000000000001</v>
      </c>
      <c r="AC96" s="32">
        <f t="shared" si="21"/>
        <v>63.828000000000003</v>
      </c>
      <c r="AD96" s="32">
        <f t="shared" si="22"/>
        <v>64.637999999999991</v>
      </c>
      <c r="AE96" s="32">
        <f t="shared" si="22"/>
        <v>65.448000000000008</v>
      </c>
      <c r="AF96" s="32">
        <f t="shared" si="22"/>
        <v>66.25800000000001</v>
      </c>
      <c r="AG96" s="32">
        <f t="shared" si="22"/>
        <v>67.067999999999998</v>
      </c>
      <c r="AH96" s="32">
        <f t="shared" si="22"/>
        <v>67.878</v>
      </c>
      <c r="AI96" s="32">
        <f t="shared" si="22"/>
        <v>68.688000000000002</v>
      </c>
      <c r="AJ96" s="32">
        <f t="shared" si="22"/>
        <v>69.498000000000005</v>
      </c>
      <c r="AK96" s="32">
        <f t="shared" si="22"/>
        <v>70.308000000000007</v>
      </c>
      <c r="AL96" s="32">
        <f t="shared" si="22"/>
        <v>71.117999999999995</v>
      </c>
      <c r="AM96" s="32">
        <f t="shared" si="19"/>
        <v>71.927999999999997</v>
      </c>
      <c r="AN96" s="32">
        <f t="shared" si="19"/>
        <v>72.738</v>
      </c>
      <c r="AO96" s="32">
        <f t="shared" si="19"/>
        <v>73.548000000000002</v>
      </c>
      <c r="AP96" s="32">
        <f t="shared" si="19"/>
        <v>74.358000000000004</v>
      </c>
      <c r="AQ96" s="32">
        <f t="shared" si="19"/>
        <v>75.167999999999992</v>
      </c>
      <c r="AR96" s="32">
        <f t="shared" si="19"/>
        <v>75.978000000000009</v>
      </c>
      <c r="AS96" s="32">
        <f t="shared" si="19"/>
        <v>76.787999999999997</v>
      </c>
      <c r="AT96" s="32">
        <f t="shared" si="19"/>
        <v>77.597999999999999</v>
      </c>
      <c r="AU96" s="32">
        <f t="shared" si="19"/>
        <v>78.408000000000001</v>
      </c>
      <c r="AV96" s="32">
        <f t="shared" si="19"/>
        <v>79.218000000000004</v>
      </c>
      <c r="AW96" s="32">
        <f t="shared" si="19"/>
        <v>80.028000000000006</v>
      </c>
      <c r="AX96" s="32">
        <f t="shared" si="19"/>
        <v>80.837999999999994</v>
      </c>
      <c r="AY96" s="32">
        <f t="shared" si="19"/>
        <v>81.647999999999996</v>
      </c>
      <c r="AZ96" s="32">
        <f t="shared" si="19"/>
        <v>82.458000000000013</v>
      </c>
      <c r="BA96" s="16"/>
    </row>
    <row r="97" spans="1:53" hidden="1" x14ac:dyDescent="0.25">
      <c r="A97" s="16"/>
      <c r="B97" s="31">
        <v>29</v>
      </c>
      <c r="C97" s="32">
        <f t="shared" si="20"/>
        <v>42.849000000000004</v>
      </c>
      <c r="D97" s="32">
        <f t="shared" si="20"/>
        <v>43.658999999999999</v>
      </c>
      <c r="E97" s="32">
        <f t="shared" si="20"/>
        <v>44.469000000000001</v>
      </c>
      <c r="F97" s="32">
        <f t="shared" si="20"/>
        <v>45.279000000000003</v>
      </c>
      <c r="G97" s="32">
        <f t="shared" si="20"/>
        <v>46.088999999999999</v>
      </c>
      <c r="H97" s="32">
        <f t="shared" si="20"/>
        <v>46.899000000000001</v>
      </c>
      <c r="I97" s="32">
        <f t="shared" si="20"/>
        <v>47.708999999999996</v>
      </c>
      <c r="J97" s="32">
        <f t="shared" si="20"/>
        <v>48.518999999999998</v>
      </c>
      <c r="K97" s="32">
        <f t="shared" si="20"/>
        <v>49.329000000000001</v>
      </c>
      <c r="L97" s="32">
        <f t="shared" si="20"/>
        <v>50.139000000000003</v>
      </c>
      <c r="M97" s="32">
        <f t="shared" si="20"/>
        <v>50.948999999999998</v>
      </c>
      <c r="N97" s="32">
        <f t="shared" si="20"/>
        <v>51.759</v>
      </c>
      <c r="O97" s="32">
        <f t="shared" si="20"/>
        <v>52.569000000000003</v>
      </c>
      <c r="P97" s="32">
        <f t="shared" si="20"/>
        <v>53.379000000000012</v>
      </c>
      <c r="Q97" s="32">
        <f t="shared" si="20"/>
        <v>54.189000000000007</v>
      </c>
      <c r="R97" s="32">
        <f t="shared" si="20"/>
        <v>54.999000000000009</v>
      </c>
      <c r="S97" s="32">
        <f t="shared" si="21"/>
        <v>55.809000000000005</v>
      </c>
      <c r="T97" s="186">
        <f t="shared" si="21"/>
        <v>56.619000000000007</v>
      </c>
      <c r="U97" s="32">
        <f t="shared" si="21"/>
        <v>57.429000000000009</v>
      </c>
      <c r="V97" s="32">
        <f t="shared" si="21"/>
        <v>58.239000000000011</v>
      </c>
      <c r="W97" s="32">
        <f t="shared" si="21"/>
        <v>59.049000000000014</v>
      </c>
      <c r="X97" s="32">
        <f t="shared" si="21"/>
        <v>59.859000000000009</v>
      </c>
      <c r="Y97" s="32">
        <f t="shared" si="21"/>
        <v>60.669000000000011</v>
      </c>
      <c r="Z97" s="32">
        <f t="shared" si="21"/>
        <v>61.479000000000006</v>
      </c>
      <c r="AA97" s="32">
        <f t="shared" si="21"/>
        <v>62.289000000000009</v>
      </c>
      <c r="AB97" s="32">
        <f t="shared" si="21"/>
        <v>63.099000000000011</v>
      </c>
      <c r="AC97" s="32">
        <f t="shared" si="21"/>
        <v>63.909000000000006</v>
      </c>
      <c r="AD97" s="32">
        <f t="shared" si="22"/>
        <v>64.719000000000008</v>
      </c>
      <c r="AE97" s="32">
        <f t="shared" si="22"/>
        <v>65.529000000000011</v>
      </c>
      <c r="AF97" s="32">
        <f t="shared" si="22"/>
        <v>66.339000000000013</v>
      </c>
      <c r="AG97" s="32">
        <f t="shared" si="22"/>
        <v>67.149000000000015</v>
      </c>
      <c r="AH97" s="32">
        <f t="shared" si="22"/>
        <v>67.959000000000003</v>
      </c>
      <c r="AI97" s="32">
        <f t="shared" si="22"/>
        <v>68.769000000000005</v>
      </c>
      <c r="AJ97" s="32">
        <f t="shared" si="22"/>
        <v>69.579000000000008</v>
      </c>
      <c r="AK97" s="32">
        <f t="shared" si="22"/>
        <v>70.38900000000001</v>
      </c>
      <c r="AL97" s="32">
        <f t="shared" si="22"/>
        <v>71.199000000000012</v>
      </c>
      <c r="AM97" s="32">
        <f t="shared" si="19"/>
        <v>72.009</v>
      </c>
      <c r="AN97" s="32">
        <f t="shared" si="19"/>
        <v>72.819000000000017</v>
      </c>
      <c r="AO97" s="32">
        <f t="shared" si="19"/>
        <v>73.629000000000005</v>
      </c>
      <c r="AP97" s="32">
        <f t="shared" si="19"/>
        <v>74.439000000000007</v>
      </c>
      <c r="AQ97" s="32">
        <f t="shared" si="19"/>
        <v>75.249000000000009</v>
      </c>
      <c r="AR97" s="32">
        <f t="shared" si="19"/>
        <v>76.059000000000012</v>
      </c>
      <c r="AS97" s="32">
        <f t="shared" si="19"/>
        <v>76.869000000000014</v>
      </c>
      <c r="AT97" s="32">
        <f t="shared" si="19"/>
        <v>77.679000000000002</v>
      </c>
      <c r="AU97" s="32">
        <f t="shared" si="19"/>
        <v>78.489000000000004</v>
      </c>
      <c r="AV97" s="32">
        <f t="shared" si="19"/>
        <v>79.299000000000021</v>
      </c>
      <c r="AW97" s="32">
        <f t="shared" si="19"/>
        <v>80.109000000000009</v>
      </c>
      <c r="AX97" s="32">
        <f t="shared" si="19"/>
        <v>80.919000000000011</v>
      </c>
      <c r="AY97" s="32">
        <f t="shared" si="19"/>
        <v>81.728999999999999</v>
      </c>
      <c r="AZ97" s="32">
        <f t="shared" si="19"/>
        <v>82.539000000000016</v>
      </c>
      <c r="BA97" s="16"/>
    </row>
    <row r="98" spans="1:53" hidden="1" x14ac:dyDescent="0.25">
      <c r="A98" s="16"/>
      <c r="B98" s="31">
        <v>30</v>
      </c>
      <c r="C98" s="32">
        <f t="shared" si="20"/>
        <v>42.930000000000007</v>
      </c>
      <c r="D98" s="32">
        <f t="shared" si="20"/>
        <v>43.74</v>
      </c>
      <c r="E98" s="32">
        <f t="shared" si="20"/>
        <v>44.550000000000004</v>
      </c>
      <c r="F98" s="32">
        <f t="shared" si="20"/>
        <v>45.36</v>
      </c>
      <c r="G98" s="32">
        <f t="shared" si="20"/>
        <v>46.17</v>
      </c>
      <c r="H98" s="32">
        <f t="shared" si="20"/>
        <v>46.980000000000004</v>
      </c>
      <c r="I98" s="32">
        <f t="shared" si="20"/>
        <v>47.79</v>
      </c>
      <c r="J98" s="32">
        <f t="shared" si="20"/>
        <v>48.6</v>
      </c>
      <c r="K98" s="32">
        <f t="shared" si="20"/>
        <v>49.41</v>
      </c>
      <c r="L98" s="32">
        <f t="shared" si="20"/>
        <v>50.220000000000006</v>
      </c>
      <c r="M98" s="32">
        <f t="shared" si="20"/>
        <v>51.03</v>
      </c>
      <c r="N98" s="32">
        <f t="shared" si="20"/>
        <v>51.84</v>
      </c>
      <c r="O98" s="32">
        <f t="shared" si="20"/>
        <v>52.65</v>
      </c>
      <c r="P98" s="32">
        <f t="shared" si="20"/>
        <v>53.46</v>
      </c>
      <c r="Q98" s="32">
        <f t="shared" si="20"/>
        <v>54.27</v>
      </c>
      <c r="R98" s="32">
        <f t="shared" si="20"/>
        <v>55.080000000000005</v>
      </c>
      <c r="S98" s="32">
        <f t="shared" si="21"/>
        <v>55.89</v>
      </c>
      <c r="T98" s="186">
        <f t="shared" si="21"/>
        <v>56.7</v>
      </c>
      <c r="U98" s="32">
        <f t="shared" si="21"/>
        <v>57.51</v>
      </c>
      <c r="V98" s="32">
        <f t="shared" si="21"/>
        <v>58.32</v>
      </c>
      <c r="W98" s="32">
        <f t="shared" si="21"/>
        <v>59.13</v>
      </c>
      <c r="X98" s="32">
        <f t="shared" si="21"/>
        <v>59.940000000000012</v>
      </c>
      <c r="Y98" s="32">
        <f t="shared" si="21"/>
        <v>60.75</v>
      </c>
      <c r="Z98" s="32">
        <f t="shared" si="21"/>
        <v>61.560000000000009</v>
      </c>
      <c r="AA98" s="32">
        <f t="shared" si="21"/>
        <v>62.37</v>
      </c>
      <c r="AB98" s="32">
        <f t="shared" si="21"/>
        <v>63.180000000000007</v>
      </c>
      <c r="AC98" s="32">
        <f t="shared" si="21"/>
        <v>63.990000000000009</v>
      </c>
      <c r="AD98" s="32">
        <f t="shared" si="22"/>
        <v>64.8</v>
      </c>
      <c r="AE98" s="32">
        <f t="shared" si="22"/>
        <v>65.610000000000014</v>
      </c>
      <c r="AF98" s="32">
        <f t="shared" si="22"/>
        <v>66.42</v>
      </c>
      <c r="AG98" s="32">
        <f t="shared" si="22"/>
        <v>67.23</v>
      </c>
      <c r="AH98" s="32">
        <f t="shared" si="22"/>
        <v>68.040000000000006</v>
      </c>
      <c r="AI98" s="32">
        <f t="shared" si="22"/>
        <v>68.850000000000009</v>
      </c>
      <c r="AJ98" s="32">
        <f t="shared" si="22"/>
        <v>69.660000000000011</v>
      </c>
      <c r="AK98" s="32">
        <f t="shared" si="22"/>
        <v>70.47</v>
      </c>
      <c r="AL98" s="32">
        <f t="shared" si="22"/>
        <v>71.28</v>
      </c>
      <c r="AM98" s="32">
        <f t="shared" si="19"/>
        <v>72.09</v>
      </c>
      <c r="AN98" s="32">
        <f t="shared" si="19"/>
        <v>72.900000000000006</v>
      </c>
      <c r="AO98" s="32">
        <f t="shared" si="19"/>
        <v>73.710000000000008</v>
      </c>
      <c r="AP98" s="32">
        <f t="shared" si="19"/>
        <v>74.52</v>
      </c>
      <c r="AQ98" s="32">
        <f t="shared" si="19"/>
        <v>75.33</v>
      </c>
      <c r="AR98" s="32">
        <f t="shared" si="19"/>
        <v>76.140000000000015</v>
      </c>
      <c r="AS98" s="32">
        <f t="shared" si="19"/>
        <v>76.95</v>
      </c>
      <c r="AT98" s="32">
        <f t="shared" si="19"/>
        <v>77.760000000000005</v>
      </c>
      <c r="AU98" s="32">
        <f t="shared" si="19"/>
        <v>78.569999999999993</v>
      </c>
      <c r="AV98" s="32">
        <f t="shared" si="19"/>
        <v>79.38000000000001</v>
      </c>
      <c r="AW98" s="32">
        <f t="shared" si="19"/>
        <v>80.190000000000012</v>
      </c>
      <c r="AX98" s="32">
        <f t="shared" si="19"/>
        <v>81</v>
      </c>
      <c r="AY98" s="32">
        <f t="shared" si="19"/>
        <v>81.81</v>
      </c>
      <c r="AZ98" s="32">
        <f t="shared" si="19"/>
        <v>82.62</v>
      </c>
      <c r="BA98" s="16"/>
    </row>
    <row r="99" spans="1:53" hidden="1" x14ac:dyDescent="0.25">
      <c r="A99" s="16"/>
      <c r="B99" s="31">
        <v>31</v>
      </c>
      <c r="C99" s="32">
        <f t="shared" si="20"/>
        <v>43.011000000000003</v>
      </c>
      <c r="D99" s="32">
        <f t="shared" si="20"/>
        <v>43.821000000000005</v>
      </c>
      <c r="E99" s="32">
        <f t="shared" si="20"/>
        <v>44.631000000000007</v>
      </c>
      <c r="F99" s="32">
        <f t="shared" si="20"/>
        <v>45.441000000000003</v>
      </c>
      <c r="G99" s="32">
        <f t="shared" si="20"/>
        <v>46.251000000000005</v>
      </c>
      <c r="H99" s="32">
        <f t="shared" si="20"/>
        <v>47.061</v>
      </c>
      <c r="I99" s="32">
        <f t="shared" si="20"/>
        <v>47.871000000000002</v>
      </c>
      <c r="J99" s="32">
        <f t="shared" si="20"/>
        <v>48.681000000000004</v>
      </c>
      <c r="K99" s="32">
        <f t="shared" si="20"/>
        <v>49.491</v>
      </c>
      <c r="L99" s="32">
        <f t="shared" si="20"/>
        <v>50.301000000000002</v>
      </c>
      <c r="M99" s="32">
        <f t="shared" si="20"/>
        <v>51.110999999999997</v>
      </c>
      <c r="N99" s="32">
        <f t="shared" si="20"/>
        <v>51.920999999999999</v>
      </c>
      <c r="O99" s="32">
        <f t="shared" si="20"/>
        <v>52.730999999999995</v>
      </c>
      <c r="P99" s="32">
        <f t="shared" si="20"/>
        <v>53.540999999999997</v>
      </c>
      <c r="Q99" s="32">
        <f t="shared" si="20"/>
        <v>54.350999999999992</v>
      </c>
      <c r="R99" s="32">
        <f t="shared" si="20"/>
        <v>55.161000000000001</v>
      </c>
      <c r="S99" s="32">
        <f t="shared" si="21"/>
        <v>55.970999999999997</v>
      </c>
      <c r="T99" s="186">
        <f t="shared" si="21"/>
        <v>56.780999999999999</v>
      </c>
      <c r="U99" s="32">
        <f t="shared" si="21"/>
        <v>57.590999999999994</v>
      </c>
      <c r="V99" s="32">
        <f t="shared" si="21"/>
        <v>58.401000000000003</v>
      </c>
      <c r="W99" s="32">
        <f t="shared" si="21"/>
        <v>59.210999999999991</v>
      </c>
      <c r="X99" s="32">
        <f t="shared" si="21"/>
        <v>60.021000000000001</v>
      </c>
      <c r="Y99" s="32">
        <f t="shared" si="21"/>
        <v>60.831000000000003</v>
      </c>
      <c r="Z99" s="32">
        <f t="shared" si="21"/>
        <v>61.640999999999998</v>
      </c>
      <c r="AA99" s="32">
        <f t="shared" si="21"/>
        <v>62.451000000000001</v>
      </c>
      <c r="AB99" s="32">
        <f t="shared" si="21"/>
        <v>63.260999999999996</v>
      </c>
      <c r="AC99" s="32">
        <f t="shared" si="21"/>
        <v>64.070999999999998</v>
      </c>
      <c r="AD99" s="32">
        <f t="shared" si="22"/>
        <v>64.881</v>
      </c>
      <c r="AE99" s="32">
        <f t="shared" si="22"/>
        <v>65.691000000000003</v>
      </c>
      <c r="AF99" s="32">
        <f t="shared" si="22"/>
        <v>66.501000000000005</v>
      </c>
      <c r="AG99" s="32">
        <f t="shared" si="22"/>
        <v>67.310999999999993</v>
      </c>
      <c r="AH99" s="32">
        <f t="shared" si="22"/>
        <v>68.120999999999995</v>
      </c>
      <c r="AI99" s="32">
        <f t="shared" si="22"/>
        <v>68.931000000000012</v>
      </c>
      <c r="AJ99" s="32">
        <f t="shared" si="22"/>
        <v>69.741</v>
      </c>
      <c r="AK99" s="32">
        <f t="shared" si="22"/>
        <v>70.551000000000002</v>
      </c>
      <c r="AL99" s="32">
        <f t="shared" si="22"/>
        <v>71.36099999999999</v>
      </c>
      <c r="AM99" s="32">
        <f t="shared" si="19"/>
        <v>72.171000000000006</v>
      </c>
      <c r="AN99" s="32">
        <f t="shared" si="19"/>
        <v>72.981000000000009</v>
      </c>
      <c r="AO99" s="32">
        <f t="shared" si="19"/>
        <v>73.790999999999997</v>
      </c>
      <c r="AP99" s="32">
        <f t="shared" si="19"/>
        <v>74.600999999999999</v>
      </c>
      <c r="AQ99" s="32">
        <f t="shared" si="19"/>
        <v>75.411000000000001</v>
      </c>
      <c r="AR99" s="32">
        <f t="shared" si="19"/>
        <v>76.221000000000004</v>
      </c>
      <c r="AS99" s="32">
        <f t="shared" si="19"/>
        <v>77.031000000000006</v>
      </c>
      <c r="AT99" s="32">
        <f t="shared" si="19"/>
        <v>77.840999999999994</v>
      </c>
      <c r="AU99" s="32">
        <f t="shared" si="19"/>
        <v>78.650999999999996</v>
      </c>
      <c r="AV99" s="32">
        <f t="shared" si="19"/>
        <v>79.460999999999999</v>
      </c>
      <c r="AW99" s="32">
        <f t="shared" si="19"/>
        <v>80.271000000000001</v>
      </c>
      <c r="AX99" s="32">
        <f t="shared" si="19"/>
        <v>81.081000000000003</v>
      </c>
      <c r="AY99" s="32">
        <f t="shared" si="19"/>
        <v>81.890999999999991</v>
      </c>
      <c r="AZ99" s="32">
        <f t="shared" si="19"/>
        <v>82.701000000000008</v>
      </c>
      <c r="BA99" s="16"/>
    </row>
    <row r="100" spans="1:53" hidden="1" x14ac:dyDescent="0.25">
      <c r="A100" s="16"/>
      <c r="B100" s="31">
        <v>32</v>
      </c>
      <c r="C100" s="32">
        <f t="shared" si="20"/>
        <v>43.092000000000006</v>
      </c>
      <c r="D100" s="32">
        <f t="shared" si="20"/>
        <v>43.902000000000001</v>
      </c>
      <c r="E100" s="32">
        <f t="shared" si="20"/>
        <v>44.71200000000001</v>
      </c>
      <c r="F100" s="32">
        <f t="shared" si="20"/>
        <v>45.522000000000006</v>
      </c>
      <c r="G100" s="32">
        <f t="shared" si="20"/>
        <v>46.332000000000008</v>
      </c>
      <c r="H100" s="32">
        <f t="shared" si="20"/>
        <v>47.142000000000003</v>
      </c>
      <c r="I100" s="32">
        <f t="shared" si="20"/>
        <v>47.952000000000005</v>
      </c>
      <c r="J100" s="32">
        <f t="shared" si="20"/>
        <v>48.762000000000008</v>
      </c>
      <c r="K100" s="32">
        <f t="shared" si="20"/>
        <v>49.572000000000003</v>
      </c>
      <c r="L100" s="32">
        <f t="shared" si="20"/>
        <v>50.382000000000005</v>
      </c>
      <c r="M100" s="32">
        <f t="shared" si="20"/>
        <v>51.192</v>
      </c>
      <c r="N100" s="32">
        <f t="shared" si="20"/>
        <v>52.002000000000002</v>
      </c>
      <c r="O100" s="32">
        <f t="shared" si="20"/>
        <v>52.812000000000005</v>
      </c>
      <c r="P100" s="32">
        <f t="shared" si="20"/>
        <v>53.622000000000007</v>
      </c>
      <c r="Q100" s="32">
        <f t="shared" si="20"/>
        <v>54.432000000000002</v>
      </c>
      <c r="R100" s="32">
        <f t="shared" si="20"/>
        <v>55.242000000000004</v>
      </c>
      <c r="S100" s="32">
        <f t="shared" si="21"/>
        <v>56.052</v>
      </c>
      <c r="T100" s="186">
        <f t="shared" si="21"/>
        <v>56.862000000000009</v>
      </c>
      <c r="U100" s="32">
        <f t="shared" si="21"/>
        <v>57.671999999999997</v>
      </c>
      <c r="V100" s="32">
        <f t="shared" si="21"/>
        <v>58.482000000000006</v>
      </c>
      <c r="W100" s="32">
        <f t="shared" si="21"/>
        <v>59.292000000000009</v>
      </c>
      <c r="X100" s="32">
        <f t="shared" si="21"/>
        <v>60.102000000000004</v>
      </c>
      <c r="Y100" s="32">
        <f t="shared" si="21"/>
        <v>60.912000000000006</v>
      </c>
      <c r="Z100" s="32">
        <f t="shared" si="21"/>
        <v>61.722000000000001</v>
      </c>
      <c r="AA100" s="32">
        <f t="shared" si="21"/>
        <v>62.532000000000004</v>
      </c>
      <c r="AB100" s="32">
        <f t="shared" si="21"/>
        <v>63.342000000000013</v>
      </c>
      <c r="AC100" s="32">
        <f t="shared" si="21"/>
        <v>64.152000000000001</v>
      </c>
      <c r="AD100" s="32">
        <f t="shared" si="22"/>
        <v>64.962000000000003</v>
      </c>
      <c r="AE100" s="32">
        <f t="shared" si="22"/>
        <v>65.772000000000006</v>
      </c>
      <c r="AF100" s="32">
        <f t="shared" si="22"/>
        <v>66.582000000000008</v>
      </c>
      <c r="AG100" s="32">
        <f t="shared" si="22"/>
        <v>67.39200000000001</v>
      </c>
      <c r="AH100" s="32">
        <f t="shared" si="22"/>
        <v>68.201999999999998</v>
      </c>
      <c r="AI100" s="32">
        <f t="shared" si="22"/>
        <v>69.012000000000015</v>
      </c>
      <c r="AJ100" s="32">
        <f t="shared" si="22"/>
        <v>69.822000000000003</v>
      </c>
      <c r="AK100" s="32">
        <f t="shared" si="22"/>
        <v>70.632000000000005</v>
      </c>
      <c r="AL100" s="32">
        <f t="shared" si="22"/>
        <v>71.442000000000007</v>
      </c>
      <c r="AM100" s="32">
        <f t="shared" si="19"/>
        <v>72.25200000000001</v>
      </c>
      <c r="AN100" s="32">
        <f t="shared" si="19"/>
        <v>73.062000000000012</v>
      </c>
      <c r="AO100" s="32">
        <f t="shared" si="19"/>
        <v>73.872</v>
      </c>
      <c r="AP100" s="32">
        <f t="shared" si="19"/>
        <v>74.682000000000002</v>
      </c>
      <c r="AQ100" s="32">
        <f t="shared" si="19"/>
        <v>75.492000000000004</v>
      </c>
      <c r="AR100" s="32">
        <f t="shared" si="19"/>
        <v>76.302000000000007</v>
      </c>
      <c r="AS100" s="32">
        <f t="shared" si="19"/>
        <v>77.112000000000009</v>
      </c>
      <c r="AT100" s="32">
        <f t="shared" si="19"/>
        <v>77.921999999999997</v>
      </c>
      <c r="AU100" s="32">
        <f t="shared" si="19"/>
        <v>78.731999999999999</v>
      </c>
      <c r="AV100" s="32">
        <f t="shared" si="19"/>
        <v>79.542000000000016</v>
      </c>
      <c r="AW100" s="32">
        <f t="shared" si="19"/>
        <v>80.352000000000004</v>
      </c>
      <c r="AX100" s="32">
        <f t="shared" si="19"/>
        <v>81.162000000000006</v>
      </c>
      <c r="AY100" s="32">
        <f t="shared" si="19"/>
        <v>81.971999999999994</v>
      </c>
      <c r="AZ100" s="32">
        <f t="shared" si="19"/>
        <v>82.782000000000011</v>
      </c>
      <c r="BA100" s="16"/>
    </row>
    <row r="101" spans="1:53" hidden="1" x14ac:dyDescent="0.25">
      <c r="A101" s="16"/>
      <c r="B101" s="31">
        <v>33</v>
      </c>
      <c r="C101" s="32">
        <f t="shared" si="20"/>
        <v>43.173000000000002</v>
      </c>
      <c r="D101" s="32">
        <f t="shared" si="20"/>
        <v>43.982999999999997</v>
      </c>
      <c r="E101" s="32">
        <f t="shared" si="20"/>
        <v>44.792999999999999</v>
      </c>
      <c r="F101" s="32">
        <f t="shared" si="20"/>
        <v>45.603000000000002</v>
      </c>
      <c r="G101" s="32">
        <f t="shared" si="20"/>
        <v>46.413000000000004</v>
      </c>
      <c r="H101" s="32">
        <f t="shared" si="20"/>
        <v>47.222999999999999</v>
      </c>
      <c r="I101" s="32">
        <f t="shared" si="20"/>
        <v>48.033000000000001</v>
      </c>
      <c r="J101" s="32">
        <f t="shared" si="20"/>
        <v>48.842999999999996</v>
      </c>
      <c r="K101" s="32">
        <f t="shared" si="20"/>
        <v>49.653000000000006</v>
      </c>
      <c r="L101" s="32">
        <f t="shared" si="20"/>
        <v>50.463000000000001</v>
      </c>
      <c r="M101" s="32">
        <f t="shared" si="20"/>
        <v>51.273000000000003</v>
      </c>
      <c r="N101" s="32">
        <f t="shared" si="20"/>
        <v>52.082999999999998</v>
      </c>
      <c r="O101" s="32">
        <f t="shared" si="20"/>
        <v>52.893000000000001</v>
      </c>
      <c r="P101" s="32">
        <f t="shared" si="20"/>
        <v>53.703000000000003</v>
      </c>
      <c r="Q101" s="32">
        <f t="shared" si="20"/>
        <v>54.512999999999998</v>
      </c>
      <c r="R101" s="32">
        <f t="shared" si="20"/>
        <v>55.323</v>
      </c>
      <c r="S101" s="32">
        <f t="shared" si="21"/>
        <v>56.132999999999996</v>
      </c>
      <c r="T101" s="186">
        <f t="shared" si="21"/>
        <v>56.942999999999998</v>
      </c>
      <c r="U101" s="32">
        <f t="shared" si="21"/>
        <v>57.753</v>
      </c>
      <c r="V101" s="32">
        <f t="shared" si="21"/>
        <v>58.562999999999995</v>
      </c>
      <c r="W101" s="32">
        <f t="shared" si="21"/>
        <v>59.372999999999998</v>
      </c>
      <c r="X101" s="32">
        <f t="shared" si="21"/>
        <v>60.183000000000007</v>
      </c>
      <c r="Y101" s="32">
        <f t="shared" si="21"/>
        <v>60.992999999999995</v>
      </c>
      <c r="Z101" s="32">
        <f t="shared" si="21"/>
        <v>61.803000000000004</v>
      </c>
      <c r="AA101" s="32">
        <f t="shared" si="21"/>
        <v>62.612999999999992</v>
      </c>
      <c r="AB101" s="32">
        <f t="shared" si="21"/>
        <v>63.423000000000002</v>
      </c>
      <c r="AC101" s="32">
        <f t="shared" si="21"/>
        <v>64.233000000000004</v>
      </c>
      <c r="AD101" s="32">
        <f t="shared" si="22"/>
        <v>65.042999999999992</v>
      </c>
      <c r="AE101" s="32">
        <f t="shared" si="22"/>
        <v>65.853000000000009</v>
      </c>
      <c r="AF101" s="32">
        <f t="shared" si="22"/>
        <v>66.662999999999997</v>
      </c>
      <c r="AG101" s="32">
        <f t="shared" si="22"/>
        <v>67.472999999999999</v>
      </c>
      <c r="AH101" s="32">
        <f t="shared" si="22"/>
        <v>68.283000000000001</v>
      </c>
      <c r="AI101" s="32">
        <f t="shared" si="22"/>
        <v>69.093000000000004</v>
      </c>
      <c r="AJ101" s="32">
        <f t="shared" si="22"/>
        <v>69.903000000000006</v>
      </c>
      <c r="AK101" s="32">
        <f t="shared" si="22"/>
        <v>70.712999999999994</v>
      </c>
      <c r="AL101" s="32">
        <f t="shared" si="22"/>
        <v>71.522999999999996</v>
      </c>
      <c r="AM101" s="32">
        <f t="shared" si="19"/>
        <v>72.333000000000013</v>
      </c>
      <c r="AN101" s="32">
        <f t="shared" si="19"/>
        <v>73.143000000000001</v>
      </c>
      <c r="AO101" s="32">
        <f t="shared" si="19"/>
        <v>73.953000000000003</v>
      </c>
      <c r="AP101" s="32">
        <f t="shared" si="19"/>
        <v>74.762999999999991</v>
      </c>
      <c r="AQ101" s="32">
        <f t="shared" si="19"/>
        <v>75.573000000000008</v>
      </c>
      <c r="AR101" s="32">
        <f t="shared" si="19"/>
        <v>76.38300000000001</v>
      </c>
      <c r="AS101" s="32">
        <f t="shared" si="19"/>
        <v>77.192999999999998</v>
      </c>
      <c r="AT101" s="32">
        <f t="shared" si="19"/>
        <v>78.003</v>
      </c>
      <c r="AU101" s="32">
        <f t="shared" si="19"/>
        <v>78.813000000000002</v>
      </c>
      <c r="AV101" s="32">
        <f t="shared" si="19"/>
        <v>79.623000000000005</v>
      </c>
      <c r="AW101" s="32">
        <f t="shared" si="19"/>
        <v>80.433000000000007</v>
      </c>
      <c r="AX101" s="32">
        <f t="shared" si="19"/>
        <v>81.242999999999995</v>
      </c>
      <c r="AY101" s="32">
        <f t="shared" si="19"/>
        <v>82.052999999999997</v>
      </c>
      <c r="AZ101" s="32">
        <f t="shared" si="19"/>
        <v>82.863</v>
      </c>
      <c r="BA101" s="16"/>
    </row>
    <row r="102" spans="1:53" hidden="1" x14ac:dyDescent="0.25">
      <c r="A102" s="16"/>
      <c r="B102" s="31">
        <v>34</v>
      </c>
      <c r="C102" s="32">
        <f t="shared" si="20"/>
        <v>43.254000000000005</v>
      </c>
      <c r="D102" s="32">
        <f t="shared" si="20"/>
        <v>44.064</v>
      </c>
      <c r="E102" s="32">
        <f t="shared" si="20"/>
        <v>44.874000000000002</v>
      </c>
      <c r="F102" s="32">
        <f t="shared" si="20"/>
        <v>45.683999999999997</v>
      </c>
      <c r="G102" s="32">
        <f t="shared" si="20"/>
        <v>46.494</v>
      </c>
      <c r="H102" s="32">
        <f t="shared" si="20"/>
        <v>47.304000000000002</v>
      </c>
      <c r="I102" s="32">
        <f t="shared" si="20"/>
        <v>48.114000000000004</v>
      </c>
      <c r="J102" s="32">
        <f t="shared" si="20"/>
        <v>48.923999999999999</v>
      </c>
      <c r="K102" s="32">
        <f t="shared" si="20"/>
        <v>49.734000000000002</v>
      </c>
      <c r="L102" s="32">
        <f t="shared" si="20"/>
        <v>50.543999999999997</v>
      </c>
      <c r="M102" s="32">
        <f t="shared" si="20"/>
        <v>51.354000000000006</v>
      </c>
      <c r="N102" s="32">
        <f t="shared" si="20"/>
        <v>52.164000000000009</v>
      </c>
      <c r="O102" s="32">
        <f t="shared" si="20"/>
        <v>52.974000000000004</v>
      </c>
      <c r="P102" s="32">
        <f t="shared" si="20"/>
        <v>53.784000000000006</v>
      </c>
      <c r="Q102" s="32">
        <f t="shared" si="20"/>
        <v>54.594000000000001</v>
      </c>
      <c r="R102" s="32">
        <f t="shared" si="20"/>
        <v>55.404000000000011</v>
      </c>
      <c r="S102" s="32">
        <f t="shared" si="21"/>
        <v>56.214000000000006</v>
      </c>
      <c r="T102" s="186">
        <f t="shared" si="21"/>
        <v>57.024000000000008</v>
      </c>
      <c r="U102" s="32">
        <f t="shared" si="21"/>
        <v>57.834000000000003</v>
      </c>
      <c r="V102" s="32">
        <f t="shared" si="21"/>
        <v>58.644000000000013</v>
      </c>
      <c r="W102" s="32">
        <f t="shared" si="21"/>
        <v>59.454000000000001</v>
      </c>
      <c r="X102" s="32">
        <f t="shared" si="21"/>
        <v>60.26400000000001</v>
      </c>
      <c r="Y102" s="32">
        <f t="shared" si="21"/>
        <v>61.074000000000012</v>
      </c>
      <c r="Z102" s="32">
        <f t="shared" si="21"/>
        <v>61.884000000000007</v>
      </c>
      <c r="AA102" s="32">
        <f t="shared" si="21"/>
        <v>62.69400000000001</v>
      </c>
      <c r="AB102" s="32">
        <f t="shared" si="21"/>
        <v>63.504000000000005</v>
      </c>
      <c r="AC102" s="32">
        <f t="shared" si="21"/>
        <v>64.314000000000007</v>
      </c>
      <c r="AD102" s="32">
        <f t="shared" si="22"/>
        <v>65.124000000000009</v>
      </c>
      <c r="AE102" s="32">
        <f t="shared" si="22"/>
        <v>65.934000000000012</v>
      </c>
      <c r="AF102" s="32">
        <f t="shared" si="22"/>
        <v>66.744000000000014</v>
      </c>
      <c r="AG102" s="32">
        <f t="shared" si="22"/>
        <v>67.554000000000002</v>
      </c>
      <c r="AH102" s="32">
        <f t="shared" si="22"/>
        <v>68.364000000000004</v>
      </c>
      <c r="AI102" s="32">
        <f t="shared" si="22"/>
        <v>69.174000000000021</v>
      </c>
      <c r="AJ102" s="32">
        <f t="shared" si="22"/>
        <v>69.984000000000009</v>
      </c>
      <c r="AK102" s="32">
        <f t="shared" si="22"/>
        <v>70.794000000000011</v>
      </c>
      <c r="AL102" s="32">
        <f t="shared" si="22"/>
        <v>71.603999999999999</v>
      </c>
      <c r="AM102" s="32">
        <f t="shared" si="22"/>
        <v>72.414000000000016</v>
      </c>
      <c r="AN102" s="32">
        <f t="shared" si="22"/>
        <v>73.224000000000018</v>
      </c>
      <c r="AO102" s="32">
        <f t="shared" si="22"/>
        <v>74.034000000000006</v>
      </c>
      <c r="AP102" s="32">
        <f t="shared" si="22"/>
        <v>74.844000000000008</v>
      </c>
      <c r="AQ102" s="32">
        <f t="shared" si="22"/>
        <v>75.654000000000011</v>
      </c>
      <c r="AR102" s="32">
        <f t="shared" si="22"/>
        <v>76.464000000000013</v>
      </c>
      <c r="AS102" s="32">
        <f t="shared" si="22"/>
        <v>77.274000000000015</v>
      </c>
      <c r="AT102" s="32">
        <f t="shared" ref="AT102:AZ111" si="23">(AT$16-100+$B102/10)*0.9*0.9</f>
        <v>78.084000000000003</v>
      </c>
      <c r="AU102" s="32">
        <f t="shared" si="23"/>
        <v>78.894000000000005</v>
      </c>
      <c r="AV102" s="32">
        <f t="shared" si="23"/>
        <v>79.704000000000008</v>
      </c>
      <c r="AW102" s="32">
        <f t="shared" si="23"/>
        <v>80.51400000000001</v>
      </c>
      <c r="AX102" s="32">
        <f t="shared" si="23"/>
        <v>81.324000000000012</v>
      </c>
      <c r="AY102" s="32">
        <f t="shared" si="23"/>
        <v>82.134</v>
      </c>
      <c r="AZ102" s="32">
        <f t="shared" si="23"/>
        <v>82.944000000000017</v>
      </c>
      <c r="BA102" s="16"/>
    </row>
    <row r="103" spans="1:53" hidden="1" x14ac:dyDescent="0.25">
      <c r="A103" s="16"/>
      <c r="B103" s="31">
        <v>35</v>
      </c>
      <c r="C103" s="32">
        <f t="shared" si="20"/>
        <v>43.335000000000001</v>
      </c>
      <c r="D103" s="32">
        <f t="shared" si="20"/>
        <v>44.145000000000003</v>
      </c>
      <c r="E103" s="32">
        <f t="shared" si="20"/>
        <v>44.955000000000005</v>
      </c>
      <c r="F103" s="32">
        <f t="shared" si="20"/>
        <v>45.765000000000001</v>
      </c>
      <c r="G103" s="32">
        <f t="shared" si="20"/>
        <v>46.575000000000003</v>
      </c>
      <c r="H103" s="32">
        <f t="shared" si="20"/>
        <v>47.384999999999998</v>
      </c>
      <c r="I103" s="32">
        <f t="shared" si="20"/>
        <v>48.195000000000007</v>
      </c>
      <c r="J103" s="32">
        <f t="shared" si="20"/>
        <v>49.005000000000003</v>
      </c>
      <c r="K103" s="32">
        <f t="shared" si="20"/>
        <v>49.815000000000005</v>
      </c>
      <c r="L103" s="32">
        <f t="shared" si="20"/>
        <v>50.625</v>
      </c>
      <c r="M103" s="32">
        <f t="shared" si="20"/>
        <v>51.435000000000002</v>
      </c>
      <c r="N103" s="32">
        <f t="shared" si="20"/>
        <v>52.245000000000005</v>
      </c>
      <c r="O103" s="32">
        <f t="shared" si="20"/>
        <v>53.055000000000007</v>
      </c>
      <c r="P103" s="32">
        <f t="shared" si="20"/>
        <v>53.865000000000002</v>
      </c>
      <c r="Q103" s="32">
        <f t="shared" si="20"/>
        <v>54.675000000000004</v>
      </c>
      <c r="R103" s="32">
        <f t="shared" si="20"/>
        <v>55.484999999999999</v>
      </c>
      <c r="S103" s="32">
        <f t="shared" si="21"/>
        <v>56.295000000000002</v>
      </c>
      <c r="T103" s="186">
        <f t="shared" si="21"/>
        <v>57.105000000000004</v>
      </c>
      <c r="U103" s="32">
        <f t="shared" si="21"/>
        <v>57.915000000000006</v>
      </c>
      <c r="V103" s="32">
        <f t="shared" si="21"/>
        <v>58.725000000000001</v>
      </c>
      <c r="W103" s="32">
        <f t="shared" si="21"/>
        <v>59.535000000000004</v>
      </c>
      <c r="X103" s="32">
        <f t="shared" si="21"/>
        <v>60.344999999999999</v>
      </c>
      <c r="Y103" s="32">
        <f t="shared" si="21"/>
        <v>61.155000000000001</v>
      </c>
      <c r="Z103" s="32">
        <f t="shared" si="21"/>
        <v>61.965000000000011</v>
      </c>
      <c r="AA103" s="32">
        <f t="shared" si="21"/>
        <v>62.774999999999999</v>
      </c>
      <c r="AB103" s="32">
        <f t="shared" si="21"/>
        <v>63.585000000000008</v>
      </c>
      <c r="AC103" s="32">
        <f t="shared" si="21"/>
        <v>64.394999999999996</v>
      </c>
      <c r="AD103" s="32">
        <f t="shared" si="22"/>
        <v>65.204999999999998</v>
      </c>
      <c r="AE103" s="32">
        <f t="shared" si="22"/>
        <v>66.015000000000015</v>
      </c>
      <c r="AF103" s="32">
        <f t="shared" si="22"/>
        <v>66.825000000000003</v>
      </c>
      <c r="AG103" s="32">
        <f t="shared" si="22"/>
        <v>67.635000000000005</v>
      </c>
      <c r="AH103" s="32">
        <f t="shared" si="22"/>
        <v>68.444999999999993</v>
      </c>
      <c r="AI103" s="32">
        <f t="shared" si="22"/>
        <v>69.25500000000001</v>
      </c>
      <c r="AJ103" s="32">
        <f t="shared" si="22"/>
        <v>70.065000000000012</v>
      </c>
      <c r="AK103" s="32">
        <f t="shared" si="22"/>
        <v>70.875</v>
      </c>
      <c r="AL103" s="32">
        <f t="shared" si="22"/>
        <v>71.685000000000002</v>
      </c>
      <c r="AM103" s="32">
        <f t="shared" si="22"/>
        <v>72.495000000000005</v>
      </c>
      <c r="AN103" s="32">
        <f t="shared" si="22"/>
        <v>73.305000000000007</v>
      </c>
      <c r="AO103" s="32">
        <f t="shared" si="22"/>
        <v>74.115000000000009</v>
      </c>
      <c r="AP103" s="32">
        <f t="shared" si="22"/>
        <v>74.924999999999997</v>
      </c>
      <c r="AQ103" s="32">
        <f t="shared" si="22"/>
        <v>75.735000000000014</v>
      </c>
      <c r="AR103" s="32">
        <f t="shared" si="22"/>
        <v>76.545000000000002</v>
      </c>
      <c r="AS103" s="32">
        <f t="shared" si="22"/>
        <v>77.355000000000004</v>
      </c>
      <c r="AT103" s="32">
        <f t="shared" si="23"/>
        <v>78.165000000000006</v>
      </c>
      <c r="AU103" s="32">
        <f t="shared" si="23"/>
        <v>78.975000000000009</v>
      </c>
      <c r="AV103" s="32">
        <f t="shared" si="23"/>
        <v>79.785000000000011</v>
      </c>
      <c r="AW103" s="32">
        <f t="shared" si="23"/>
        <v>80.594999999999999</v>
      </c>
      <c r="AX103" s="32">
        <f t="shared" si="23"/>
        <v>81.405000000000001</v>
      </c>
      <c r="AY103" s="32">
        <f t="shared" si="23"/>
        <v>82.215000000000003</v>
      </c>
      <c r="AZ103" s="32">
        <f t="shared" si="23"/>
        <v>83.025000000000006</v>
      </c>
      <c r="BA103" s="16"/>
    </row>
    <row r="104" spans="1:53" hidden="1" x14ac:dyDescent="0.25">
      <c r="A104" s="16"/>
      <c r="B104" s="31">
        <v>36</v>
      </c>
      <c r="C104" s="32">
        <f t="shared" si="20"/>
        <v>43.416000000000004</v>
      </c>
      <c r="D104" s="32">
        <f t="shared" si="20"/>
        <v>44.225999999999999</v>
      </c>
      <c r="E104" s="32">
        <f t="shared" si="20"/>
        <v>45.036000000000001</v>
      </c>
      <c r="F104" s="32">
        <f t="shared" si="20"/>
        <v>45.846000000000004</v>
      </c>
      <c r="G104" s="32">
        <f t="shared" si="20"/>
        <v>46.656000000000006</v>
      </c>
      <c r="H104" s="32">
        <f t="shared" si="20"/>
        <v>47.466000000000001</v>
      </c>
      <c r="I104" s="32">
        <f t="shared" si="20"/>
        <v>48.276000000000003</v>
      </c>
      <c r="J104" s="32">
        <f t="shared" si="20"/>
        <v>49.085999999999999</v>
      </c>
      <c r="K104" s="32">
        <f t="shared" si="20"/>
        <v>49.896000000000008</v>
      </c>
      <c r="L104" s="32">
        <f t="shared" si="20"/>
        <v>50.706000000000003</v>
      </c>
      <c r="M104" s="32">
        <f t="shared" si="20"/>
        <v>51.516000000000005</v>
      </c>
      <c r="N104" s="32">
        <f t="shared" si="20"/>
        <v>52.325999999999993</v>
      </c>
      <c r="O104" s="32">
        <f t="shared" si="20"/>
        <v>53.136000000000003</v>
      </c>
      <c r="P104" s="32">
        <f t="shared" si="20"/>
        <v>53.945999999999998</v>
      </c>
      <c r="Q104" s="32">
        <f t="shared" si="20"/>
        <v>54.756</v>
      </c>
      <c r="R104" s="32">
        <f t="shared" si="20"/>
        <v>55.565999999999995</v>
      </c>
      <c r="S104" s="32">
        <f t="shared" si="21"/>
        <v>56.375999999999998</v>
      </c>
      <c r="T104" s="186">
        <f t="shared" si="21"/>
        <v>57.186</v>
      </c>
      <c r="U104" s="32">
        <f t="shared" si="21"/>
        <v>57.996000000000002</v>
      </c>
      <c r="V104" s="32">
        <f t="shared" si="21"/>
        <v>58.806000000000004</v>
      </c>
      <c r="W104" s="32">
        <f t="shared" si="21"/>
        <v>59.616</v>
      </c>
      <c r="X104" s="32">
        <f t="shared" si="21"/>
        <v>60.426000000000002</v>
      </c>
      <c r="Y104" s="32">
        <f t="shared" si="21"/>
        <v>61.235999999999997</v>
      </c>
      <c r="Z104" s="32">
        <f t="shared" si="21"/>
        <v>62.045999999999999</v>
      </c>
      <c r="AA104" s="32">
        <f t="shared" si="21"/>
        <v>62.856000000000002</v>
      </c>
      <c r="AB104" s="32">
        <f t="shared" si="21"/>
        <v>63.665999999999997</v>
      </c>
      <c r="AC104" s="32">
        <f t="shared" si="21"/>
        <v>64.475999999999999</v>
      </c>
      <c r="AD104" s="32">
        <f t="shared" si="22"/>
        <v>65.286000000000001</v>
      </c>
      <c r="AE104" s="32">
        <f t="shared" si="22"/>
        <v>66.096000000000004</v>
      </c>
      <c r="AF104" s="32">
        <f t="shared" si="22"/>
        <v>66.906000000000006</v>
      </c>
      <c r="AG104" s="32">
        <f t="shared" si="22"/>
        <v>67.715999999999994</v>
      </c>
      <c r="AH104" s="32">
        <f t="shared" si="22"/>
        <v>68.525999999999996</v>
      </c>
      <c r="AI104" s="32">
        <f t="shared" si="22"/>
        <v>69.335999999999999</v>
      </c>
      <c r="AJ104" s="32">
        <f t="shared" si="22"/>
        <v>70.146000000000001</v>
      </c>
      <c r="AK104" s="32">
        <f t="shared" si="22"/>
        <v>70.956000000000003</v>
      </c>
      <c r="AL104" s="32">
        <f t="shared" si="22"/>
        <v>71.765999999999991</v>
      </c>
      <c r="AM104" s="32">
        <f t="shared" si="22"/>
        <v>72.576000000000008</v>
      </c>
      <c r="AN104" s="32">
        <f t="shared" si="22"/>
        <v>73.385999999999996</v>
      </c>
      <c r="AO104" s="32">
        <f t="shared" si="22"/>
        <v>74.195999999999998</v>
      </c>
      <c r="AP104" s="32">
        <f t="shared" si="22"/>
        <v>75.006</v>
      </c>
      <c r="AQ104" s="32">
        <f t="shared" si="22"/>
        <v>75.816000000000003</v>
      </c>
      <c r="AR104" s="32">
        <f t="shared" si="22"/>
        <v>76.626000000000005</v>
      </c>
      <c r="AS104" s="32">
        <f t="shared" si="22"/>
        <v>77.435999999999993</v>
      </c>
      <c r="AT104" s="32">
        <f t="shared" si="23"/>
        <v>78.245999999999995</v>
      </c>
      <c r="AU104" s="32">
        <f t="shared" si="23"/>
        <v>79.056000000000012</v>
      </c>
      <c r="AV104" s="32">
        <f t="shared" si="23"/>
        <v>79.866</v>
      </c>
      <c r="AW104" s="32">
        <f t="shared" si="23"/>
        <v>80.676000000000002</v>
      </c>
      <c r="AX104" s="32">
        <f t="shared" si="23"/>
        <v>81.48599999999999</v>
      </c>
      <c r="AY104" s="32">
        <f t="shared" si="23"/>
        <v>82.296000000000006</v>
      </c>
      <c r="AZ104" s="32">
        <f t="shared" si="23"/>
        <v>83.106000000000009</v>
      </c>
      <c r="BA104" s="16"/>
    </row>
    <row r="105" spans="1:53" hidden="1" x14ac:dyDescent="0.25">
      <c r="A105" s="16"/>
      <c r="B105" s="31">
        <v>37</v>
      </c>
      <c r="C105" s="32">
        <f t="shared" si="20"/>
        <v>43.497000000000007</v>
      </c>
      <c r="D105" s="32">
        <f t="shared" si="20"/>
        <v>44.307000000000002</v>
      </c>
      <c r="E105" s="32">
        <f t="shared" si="20"/>
        <v>45.117000000000004</v>
      </c>
      <c r="F105" s="32">
        <f t="shared" si="20"/>
        <v>45.927</v>
      </c>
      <c r="G105" s="32">
        <f t="shared" si="20"/>
        <v>46.737000000000009</v>
      </c>
      <c r="H105" s="32">
        <f t="shared" si="20"/>
        <v>47.547000000000004</v>
      </c>
      <c r="I105" s="32">
        <f t="shared" si="20"/>
        <v>48.357000000000006</v>
      </c>
      <c r="J105" s="32">
        <f t="shared" si="20"/>
        <v>49.167000000000002</v>
      </c>
      <c r="K105" s="32">
        <f t="shared" si="20"/>
        <v>49.977000000000004</v>
      </c>
      <c r="L105" s="32">
        <f t="shared" si="20"/>
        <v>50.787000000000006</v>
      </c>
      <c r="M105" s="32">
        <f t="shared" si="20"/>
        <v>51.597000000000008</v>
      </c>
      <c r="N105" s="32">
        <f t="shared" si="20"/>
        <v>52.407000000000004</v>
      </c>
      <c r="O105" s="32">
        <f t="shared" si="20"/>
        <v>53.217000000000006</v>
      </c>
      <c r="P105" s="32">
        <f t="shared" si="20"/>
        <v>54.027000000000001</v>
      </c>
      <c r="Q105" s="32">
        <f t="shared" si="20"/>
        <v>54.83700000000001</v>
      </c>
      <c r="R105" s="32">
        <f t="shared" si="20"/>
        <v>55.647000000000006</v>
      </c>
      <c r="S105" s="32">
        <f t="shared" si="21"/>
        <v>56.457000000000008</v>
      </c>
      <c r="T105" s="186">
        <f t="shared" si="21"/>
        <v>57.267000000000003</v>
      </c>
      <c r="U105" s="32">
        <f t="shared" si="21"/>
        <v>58.077000000000005</v>
      </c>
      <c r="V105" s="32">
        <f t="shared" si="21"/>
        <v>58.887000000000008</v>
      </c>
      <c r="W105" s="32">
        <f t="shared" si="21"/>
        <v>59.697000000000003</v>
      </c>
      <c r="X105" s="32">
        <f t="shared" si="21"/>
        <v>60.507000000000005</v>
      </c>
      <c r="Y105" s="32">
        <f t="shared" si="21"/>
        <v>61.317000000000007</v>
      </c>
      <c r="Z105" s="32">
        <f t="shared" si="21"/>
        <v>62.127000000000002</v>
      </c>
      <c r="AA105" s="32">
        <f t="shared" si="21"/>
        <v>62.937000000000005</v>
      </c>
      <c r="AB105" s="32">
        <f t="shared" si="21"/>
        <v>63.747</v>
      </c>
      <c r="AC105" s="32">
        <f t="shared" si="21"/>
        <v>64.557000000000002</v>
      </c>
      <c r="AD105" s="32">
        <f t="shared" si="22"/>
        <v>65.367000000000004</v>
      </c>
      <c r="AE105" s="32">
        <f t="shared" si="22"/>
        <v>66.177000000000007</v>
      </c>
      <c r="AF105" s="32">
        <f t="shared" si="22"/>
        <v>66.987000000000009</v>
      </c>
      <c r="AG105" s="32">
        <f t="shared" si="22"/>
        <v>67.796999999999997</v>
      </c>
      <c r="AH105" s="32">
        <f t="shared" si="22"/>
        <v>68.606999999999999</v>
      </c>
      <c r="AI105" s="32">
        <f t="shared" si="22"/>
        <v>69.417000000000016</v>
      </c>
      <c r="AJ105" s="32">
        <f t="shared" si="22"/>
        <v>70.227000000000004</v>
      </c>
      <c r="AK105" s="32">
        <f t="shared" si="22"/>
        <v>71.037000000000006</v>
      </c>
      <c r="AL105" s="32">
        <f t="shared" si="22"/>
        <v>71.846999999999994</v>
      </c>
      <c r="AM105" s="32">
        <f t="shared" si="22"/>
        <v>72.657000000000011</v>
      </c>
      <c r="AN105" s="32">
        <f t="shared" si="22"/>
        <v>73.467000000000013</v>
      </c>
      <c r="AO105" s="32">
        <f t="shared" si="22"/>
        <v>74.277000000000001</v>
      </c>
      <c r="AP105" s="32">
        <f t="shared" si="22"/>
        <v>75.087000000000003</v>
      </c>
      <c r="AQ105" s="32">
        <f t="shared" si="22"/>
        <v>75.897000000000006</v>
      </c>
      <c r="AR105" s="32">
        <f t="shared" si="22"/>
        <v>76.707000000000008</v>
      </c>
      <c r="AS105" s="32">
        <f t="shared" si="22"/>
        <v>77.51700000000001</v>
      </c>
      <c r="AT105" s="32">
        <f t="shared" si="23"/>
        <v>78.326999999999998</v>
      </c>
      <c r="AU105" s="32">
        <f t="shared" si="23"/>
        <v>79.137000000000015</v>
      </c>
      <c r="AV105" s="32">
        <f t="shared" si="23"/>
        <v>79.947000000000003</v>
      </c>
      <c r="AW105" s="32">
        <f t="shared" si="23"/>
        <v>80.757000000000005</v>
      </c>
      <c r="AX105" s="32">
        <f t="shared" si="23"/>
        <v>81.567000000000007</v>
      </c>
      <c r="AY105" s="32">
        <f t="shared" si="23"/>
        <v>82.37700000000001</v>
      </c>
      <c r="AZ105" s="32">
        <f t="shared" si="23"/>
        <v>83.187000000000012</v>
      </c>
      <c r="BA105" s="16"/>
    </row>
    <row r="106" spans="1:53" hidden="1" x14ac:dyDescent="0.25">
      <c r="A106" s="16"/>
      <c r="B106" s="31">
        <v>38</v>
      </c>
      <c r="C106" s="32">
        <f t="shared" si="20"/>
        <v>43.578000000000003</v>
      </c>
      <c r="D106" s="32">
        <f t="shared" si="20"/>
        <v>44.387999999999998</v>
      </c>
      <c r="E106" s="32">
        <f t="shared" si="20"/>
        <v>45.198</v>
      </c>
      <c r="F106" s="32">
        <f t="shared" si="20"/>
        <v>46.007999999999996</v>
      </c>
      <c r="G106" s="32">
        <f t="shared" si="20"/>
        <v>46.817999999999998</v>
      </c>
      <c r="H106" s="32">
        <f t="shared" si="20"/>
        <v>47.628</v>
      </c>
      <c r="I106" s="32">
        <f t="shared" si="20"/>
        <v>48.438000000000002</v>
      </c>
      <c r="J106" s="32">
        <f t="shared" si="20"/>
        <v>49.247999999999998</v>
      </c>
      <c r="K106" s="32">
        <f t="shared" si="20"/>
        <v>50.058</v>
      </c>
      <c r="L106" s="32">
        <f t="shared" si="20"/>
        <v>50.867999999999995</v>
      </c>
      <c r="M106" s="32">
        <f t="shared" si="20"/>
        <v>51.678000000000004</v>
      </c>
      <c r="N106" s="32">
        <f t="shared" si="20"/>
        <v>52.488</v>
      </c>
      <c r="O106" s="32">
        <f t="shared" si="20"/>
        <v>53.298000000000002</v>
      </c>
      <c r="P106" s="32">
        <f t="shared" si="20"/>
        <v>54.107999999999997</v>
      </c>
      <c r="Q106" s="32">
        <f t="shared" si="20"/>
        <v>54.917999999999999</v>
      </c>
      <c r="R106" s="32">
        <f t="shared" si="20"/>
        <v>55.728000000000002</v>
      </c>
      <c r="S106" s="32">
        <f t="shared" si="21"/>
        <v>56.538000000000004</v>
      </c>
      <c r="T106" s="186">
        <f t="shared" si="21"/>
        <v>57.347999999999999</v>
      </c>
      <c r="U106" s="32">
        <f t="shared" si="21"/>
        <v>58.158000000000008</v>
      </c>
      <c r="V106" s="32">
        <f t="shared" si="21"/>
        <v>58.967999999999996</v>
      </c>
      <c r="W106" s="32">
        <f t="shared" si="21"/>
        <v>59.778000000000006</v>
      </c>
      <c r="X106" s="32">
        <f t="shared" si="21"/>
        <v>60.587999999999994</v>
      </c>
      <c r="Y106" s="32">
        <f t="shared" si="21"/>
        <v>61.398000000000003</v>
      </c>
      <c r="Z106" s="32">
        <f t="shared" si="21"/>
        <v>62.208000000000006</v>
      </c>
      <c r="AA106" s="32">
        <f t="shared" si="21"/>
        <v>63.018000000000001</v>
      </c>
      <c r="AB106" s="32">
        <f t="shared" si="21"/>
        <v>63.828000000000003</v>
      </c>
      <c r="AC106" s="32">
        <f t="shared" si="21"/>
        <v>64.637999999999991</v>
      </c>
      <c r="AD106" s="32">
        <f t="shared" si="22"/>
        <v>65.448000000000008</v>
      </c>
      <c r="AE106" s="32">
        <f t="shared" si="22"/>
        <v>66.25800000000001</v>
      </c>
      <c r="AF106" s="32">
        <f t="shared" si="22"/>
        <v>67.067999999999998</v>
      </c>
      <c r="AG106" s="32">
        <f t="shared" si="22"/>
        <v>67.878</v>
      </c>
      <c r="AH106" s="32">
        <f t="shared" si="22"/>
        <v>68.688000000000002</v>
      </c>
      <c r="AI106" s="32">
        <f t="shared" si="22"/>
        <v>69.498000000000005</v>
      </c>
      <c r="AJ106" s="32">
        <f t="shared" si="22"/>
        <v>70.308000000000007</v>
      </c>
      <c r="AK106" s="32">
        <f t="shared" si="22"/>
        <v>71.117999999999995</v>
      </c>
      <c r="AL106" s="32">
        <f t="shared" si="22"/>
        <v>71.927999999999997</v>
      </c>
      <c r="AM106" s="32">
        <f t="shared" si="22"/>
        <v>72.738</v>
      </c>
      <c r="AN106" s="32">
        <f t="shared" si="22"/>
        <v>73.548000000000002</v>
      </c>
      <c r="AO106" s="32">
        <f t="shared" si="22"/>
        <v>74.358000000000004</v>
      </c>
      <c r="AP106" s="32">
        <f t="shared" si="22"/>
        <v>75.167999999999992</v>
      </c>
      <c r="AQ106" s="32">
        <f t="shared" si="22"/>
        <v>75.978000000000009</v>
      </c>
      <c r="AR106" s="32">
        <f t="shared" si="22"/>
        <v>76.787999999999997</v>
      </c>
      <c r="AS106" s="32">
        <f t="shared" si="22"/>
        <v>77.597999999999999</v>
      </c>
      <c r="AT106" s="32">
        <f t="shared" si="23"/>
        <v>78.408000000000001</v>
      </c>
      <c r="AU106" s="32">
        <f t="shared" si="23"/>
        <v>79.218000000000004</v>
      </c>
      <c r="AV106" s="32">
        <f t="shared" si="23"/>
        <v>80.028000000000006</v>
      </c>
      <c r="AW106" s="32">
        <f t="shared" si="23"/>
        <v>80.837999999999994</v>
      </c>
      <c r="AX106" s="32">
        <f t="shared" si="23"/>
        <v>81.647999999999996</v>
      </c>
      <c r="AY106" s="32">
        <f t="shared" si="23"/>
        <v>82.458000000000013</v>
      </c>
      <c r="AZ106" s="32">
        <f t="shared" si="23"/>
        <v>83.268000000000001</v>
      </c>
      <c r="BA106" s="16"/>
    </row>
    <row r="107" spans="1:53" hidden="1" x14ac:dyDescent="0.25">
      <c r="A107" s="16"/>
      <c r="B107" s="31">
        <v>39</v>
      </c>
      <c r="C107" s="32">
        <f t="shared" si="20"/>
        <v>43.658999999999999</v>
      </c>
      <c r="D107" s="32">
        <f t="shared" si="20"/>
        <v>44.469000000000001</v>
      </c>
      <c r="E107" s="32">
        <f t="shared" si="20"/>
        <v>45.279000000000003</v>
      </c>
      <c r="F107" s="32">
        <f t="shared" si="20"/>
        <v>46.088999999999999</v>
      </c>
      <c r="G107" s="32">
        <f t="shared" si="20"/>
        <v>46.899000000000001</v>
      </c>
      <c r="H107" s="32">
        <f t="shared" si="20"/>
        <v>47.708999999999996</v>
      </c>
      <c r="I107" s="32">
        <f t="shared" si="20"/>
        <v>48.518999999999998</v>
      </c>
      <c r="J107" s="32">
        <f t="shared" si="20"/>
        <v>49.329000000000001</v>
      </c>
      <c r="K107" s="32">
        <f t="shared" si="20"/>
        <v>50.139000000000003</v>
      </c>
      <c r="L107" s="32">
        <f t="shared" si="20"/>
        <v>50.948999999999998</v>
      </c>
      <c r="M107" s="32">
        <f t="shared" si="20"/>
        <v>51.759</v>
      </c>
      <c r="N107" s="32">
        <f t="shared" si="20"/>
        <v>52.569000000000003</v>
      </c>
      <c r="O107" s="32">
        <f t="shared" si="20"/>
        <v>53.379000000000012</v>
      </c>
      <c r="P107" s="32">
        <f t="shared" si="20"/>
        <v>54.189000000000007</v>
      </c>
      <c r="Q107" s="32">
        <f t="shared" si="20"/>
        <v>54.999000000000009</v>
      </c>
      <c r="R107" s="32">
        <f t="shared" si="20"/>
        <v>55.809000000000005</v>
      </c>
      <c r="S107" s="32">
        <f t="shared" si="21"/>
        <v>56.619000000000007</v>
      </c>
      <c r="T107" s="186">
        <f t="shared" si="21"/>
        <v>57.429000000000009</v>
      </c>
      <c r="U107" s="32">
        <f t="shared" si="21"/>
        <v>58.239000000000011</v>
      </c>
      <c r="V107" s="32">
        <f t="shared" si="21"/>
        <v>59.049000000000014</v>
      </c>
      <c r="W107" s="32">
        <f t="shared" si="21"/>
        <v>59.859000000000009</v>
      </c>
      <c r="X107" s="32">
        <f t="shared" si="21"/>
        <v>60.669000000000011</v>
      </c>
      <c r="Y107" s="32">
        <f t="shared" si="21"/>
        <v>61.479000000000006</v>
      </c>
      <c r="Z107" s="32">
        <f t="shared" si="21"/>
        <v>62.289000000000009</v>
      </c>
      <c r="AA107" s="32">
        <f t="shared" si="21"/>
        <v>63.099000000000011</v>
      </c>
      <c r="AB107" s="32">
        <f t="shared" si="21"/>
        <v>63.909000000000006</v>
      </c>
      <c r="AC107" s="32">
        <f t="shared" si="21"/>
        <v>64.719000000000008</v>
      </c>
      <c r="AD107" s="32">
        <f t="shared" si="22"/>
        <v>65.529000000000011</v>
      </c>
      <c r="AE107" s="32">
        <f t="shared" si="22"/>
        <v>66.339000000000013</v>
      </c>
      <c r="AF107" s="32">
        <f t="shared" si="22"/>
        <v>67.149000000000015</v>
      </c>
      <c r="AG107" s="32">
        <f t="shared" si="22"/>
        <v>67.959000000000003</v>
      </c>
      <c r="AH107" s="32">
        <f t="shared" si="22"/>
        <v>68.769000000000005</v>
      </c>
      <c r="AI107" s="32">
        <f t="shared" si="22"/>
        <v>69.579000000000008</v>
      </c>
      <c r="AJ107" s="32">
        <f t="shared" si="22"/>
        <v>70.38900000000001</v>
      </c>
      <c r="AK107" s="32">
        <f t="shared" si="22"/>
        <v>71.199000000000012</v>
      </c>
      <c r="AL107" s="32">
        <f t="shared" si="22"/>
        <v>72.009</v>
      </c>
      <c r="AM107" s="32">
        <f t="shared" si="22"/>
        <v>72.819000000000017</v>
      </c>
      <c r="AN107" s="32">
        <f t="shared" si="22"/>
        <v>73.629000000000005</v>
      </c>
      <c r="AO107" s="32">
        <f t="shared" si="22"/>
        <v>74.439000000000007</v>
      </c>
      <c r="AP107" s="32">
        <f t="shared" si="22"/>
        <v>75.249000000000009</v>
      </c>
      <c r="AQ107" s="32">
        <f t="shared" si="22"/>
        <v>76.059000000000012</v>
      </c>
      <c r="AR107" s="32">
        <f t="shared" si="22"/>
        <v>76.869000000000014</v>
      </c>
      <c r="AS107" s="32">
        <f t="shared" si="22"/>
        <v>77.679000000000002</v>
      </c>
      <c r="AT107" s="32">
        <f t="shared" si="23"/>
        <v>78.489000000000004</v>
      </c>
      <c r="AU107" s="32">
        <f t="shared" si="23"/>
        <v>79.299000000000021</v>
      </c>
      <c r="AV107" s="32">
        <f t="shared" si="23"/>
        <v>80.109000000000009</v>
      </c>
      <c r="AW107" s="32">
        <f t="shared" si="23"/>
        <v>80.919000000000011</v>
      </c>
      <c r="AX107" s="32">
        <f t="shared" si="23"/>
        <v>81.728999999999999</v>
      </c>
      <c r="AY107" s="32">
        <f t="shared" si="23"/>
        <v>82.539000000000016</v>
      </c>
      <c r="AZ107" s="32">
        <f t="shared" si="23"/>
        <v>83.349000000000018</v>
      </c>
      <c r="BA107" s="16"/>
    </row>
    <row r="108" spans="1:53" hidden="1" x14ac:dyDescent="0.25">
      <c r="A108" s="16"/>
      <c r="B108" s="31">
        <v>40</v>
      </c>
      <c r="C108" s="32">
        <f t="shared" si="20"/>
        <v>43.74</v>
      </c>
      <c r="D108" s="32">
        <f t="shared" si="20"/>
        <v>44.550000000000004</v>
      </c>
      <c r="E108" s="32">
        <f t="shared" si="20"/>
        <v>45.36</v>
      </c>
      <c r="F108" s="32">
        <f t="shared" si="20"/>
        <v>46.17</v>
      </c>
      <c r="G108" s="32">
        <f t="shared" si="20"/>
        <v>46.980000000000004</v>
      </c>
      <c r="H108" s="32">
        <f t="shared" si="20"/>
        <v>47.79</v>
      </c>
      <c r="I108" s="32">
        <f t="shared" si="20"/>
        <v>48.6</v>
      </c>
      <c r="J108" s="32">
        <f t="shared" si="20"/>
        <v>49.41</v>
      </c>
      <c r="K108" s="32">
        <f t="shared" si="20"/>
        <v>50.220000000000006</v>
      </c>
      <c r="L108" s="32">
        <f t="shared" si="20"/>
        <v>51.03</v>
      </c>
      <c r="M108" s="32">
        <f t="shared" si="20"/>
        <v>51.84</v>
      </c>
      <c r="N108" s="32">
        <f t="shared" si="20"/>
        <v>52.65</v>
      </c>
      <c r="O108" s="32">
        <f t="shared" si="20"/>
        <v>53.46</v>
      </c>
      <c r="P108" s="32">
        <f t="shared" si="20"/>
        <v>54.27</v>
      </c>
      <c r="Q108" s="32">
        <f t="shared" si="20"/>
        <v>55.080000000000005</v>
      </c>
      <c r="R108" s="32">
        <f t="shared" si="20"/>
        <v>55.89</v>
      </c>
      <c r="S108" s="32">
        <f t="shared" si="21"/>
        <v>56.7</v>
      </c>
      <c r="T108" s="186">
        <f t="shared" si="21"/>
        <v>57.51</v>
      </c>
      <c r="U108" s="32">
        <f t="shared" si="21"/>
        <v>58.32</v>
      </c>
      <c r="V108" s="32">
        <f t="shared" si="21"/>
        <v>59.13</v>
      </c>
      <c r="W108" s="32">
        <f t="shared" si="21"/>
        <v>59.940000000000012</v>
      </c>
      <c r="X108" s="32">
        <f t="shared" si="21"/>
        <v>60.75</v>
      </c>
      <c r="Y108" s="32">
        <f t="shared" si="21"/>
        <v>61.560000000000009</v>
      </c>
      <c r="Z108" s="32">
        <f t="shared" si="21"/>
        <v>62.37</v>
      </c>
      <c r="AA108" s="32">
        <f t="shared" si="21"/>
        <v>63.180000000000007</v>
      </c>
      <c r="AB108" s="32">
        <f t="shared" si="21"/>
        <v>63.990000000000009</v>
      </c>
      <c r="AC108" s="32">
        <f t="shared" si="21"/>
        <v>64.8</v>
      </c>
      <c r="AD108" s="32">
        <f t="shared" si="22"/>
        <v>65.610000000000014</v>
      </c>
      <c r="AE108" s="32">
        <f t="shared" si="22"/>
        <v>66.42</v>
      </c>
      <c r="AF108" s="32">
        <f t="shared" si="22"/>
        <v>67.23</v>
      </c>
      <c r="AG108" s="32">
        <f t="shared" si="22"/>
        <v>68.040000000000006</v>
      </c>
      <c r="AH108" s="32">
        <f t="shared" si="22"/>
        <v>68.850000000000009</v>
      </c>
      <c r="AI108" s="32">
        <f t="shared" si="22"/>
        <v>69.660000000000011</v>
      </c>
      <c r="AJ108" s="32">
        <f t="shared" si="22"/>
        <v>70.47</v>
      </c>
      <c r="AK108" s="32">
        <f t="shared" si="22"/>
        <v>71.28</v>
      </c>
      <c r="AL108" s="32">
        <f t="shared" si="22"/>
        <v>72.09</v>
      </c>
      <c r="AM108" s="32">
        <f t="shared" si="22"/>
        <v>72.900000000000006</v>
      </c>
      <c r="AN108" s="32">
        <f t="shared" si="22"/>
        <v>73.710000000000008</v>
      </c>
      <c r="AO108" s="32">
        <f t="shared" si="22"/>
        <v>74.52</v>
      </c>
      <c r="AP108" s="32">
        <f t="shared" si="22"/>
        <v>75.33</v>
      </c>
      <c r="AQ108" s="32">
        <f t="shared" si="22"/>
        <v>76.140000000000015</v>
      </c>
      <c r="AR108" s="32">
        <f t="shared" si="22"/>
        <v>76.95</v>
      </c>
      <c r="AS108" s="32">
        <f t="shared" si="22"/>
        <v>77.760000000000005</v>
      </c>
      <c r="AT108" s="32">
        <f t="shared" si="23"/>
        <v>78.569999999999993</v>
      </c>
      <c r="AU108" s="32">
        <f t="shared" si="23"/>
        <v>79.38000000000001</v>
      </c>
      <c r="AV108" s="32">
        <f t="shared" si="23"/>
        <v>80.190000000000012</v>
      </c>
      <c r="AW108" s="32">
        <f t="shared" si="23"/>
        <v>81</v>
      </c>
      <c r="AX108" s="32">
        <f t="shared" si="23"/>
        <v>81.81</v>
      </c>
      <c r="AY108" s="32">
        <f t="shared" si="23"/>
        <v>82.62</v>
      </c>
      <c r="AZ108" s="32">
        <f t="shared" si="23"/>
        <v>83.43</v>
      </c>
      <c r="BA108" s="16"/>
    </row>
    <row r="109" spans="1:53" hidden="1" x14ac:dyDescent="0.25">
      <c r="A109" s="16"/>
      <c r="B109" s="31">
        <v>41</v>
      </c>
      <c r="C109" s="32">
        <f t="shared" si="20"/>
        <v>43.821000000000005</v>
      </c>
      <c r="D109" s="32">
        <f t="shared" si="20"/>
        <v>44.631000000000007</v>
      </c>
      <c r="E109" s="32">
        <f t="shared" si="20"/>
        <v>45.441000000000003</v>
      </c>
      <c r="F109" s="32">
        <f t="shared" si="20"/>
        <v>46.251000000000005</v>
      </c>
      <c r="G109" s="32">
        <f t="shared" si="20"/>
        <v>47.061</v>
      </c>
      <c r="H109" s="32">
        <f t="shared" si="20"/>
        <v>47.871000000000002</v>
      </c>
      <c r="I109" s="32">
        <f t="shared" si="20"/>
        <v>48.681000000000004</v>
      </c>
      <c r="J109" s="32">
        <f t="shared" si="20"/>
        <v>49.491</v>
      </c>
      <c r="K109" s="32">
        <f t="shared" ref="K109:Z124" si="24">(K$16-100+$B109/10)*0.9*0.9</f>
        <v>50.301000000000002</v>
      </c>
      <c r="L109" s="32">
        <f t="shared" si="24"/>
        <v>51.110999999999997</v>
      </c>
      <c r="M109" s="32">
        <f t="shared" si="24"/>
        <v>51.920999999999999</v>
      </c>
      <c r="N109" s="32">
        <f t="shared" si="24"/>
        <v>52.730999999999995</v>
      </c>
      <c r="O109" s="32">
        <f t="shared" si="24"/>
        <v>53.540999999999997</v>
      </c>
      <c r="P109" s="32">
        <f t="shared" si="24"/>
        <v>54.350999999999992</v>
      </c>
      <c r="Q109" s="32">
        <f t="shared" si="24"/>
        <v>55.161000000000001</v>
      </c>
      <c r="R109" s="32">
        <f t="shared" si="24"/>
        <v>55.970999999999997</v>
      </c>
      <c r="S109" s="32">
        <f t="shared" si="24"/>
        <v>56.780999999999999</v>
      </c>
      <c r="T109" s="186">
        <f t="shared" si="24"/>
        <v>57.590999999999994</v>
      </c>
      <c r="U109" s="32">
        <f t="shared" si="24"/>
        <v>58.401000000000003</v>
      </c>
      <c r="V109" s="32">
        <f t="shared" si="24"/>
        <v>59.210999999999991</v>
      </c>
      <c r="W109" s="32">
        <f t="shared" si="24"/>
        <v>60.021000000000001</v>
      </c>
      <c r="X109" s="32">
        <f t="shared" si="24"/>
        <v>60.831000000000003</v>
      </c>
      <c r="Y109" s="32">
        <f t="shared" si="24"/>
        <v>61.640999999999998</v>
      </c>
      <c r="Z109" s="32">
        <f t="shared" si="24"/>
        <v>62.451000000000001</v>
      </c>
      <c r="AA109" s="32">
        <f t="shared" si="21"/>
        <v>63.260999999999996</v>
      </c>
      <c r="AB109" s="32">
        <f t="shared" si="21"/>
        <v>64.070999999999998</v>
      </c>
      <c r="AC109" s="32">
        <f t="shared" si="21"/>
        <v>64.881</v>
      </c>
      <c r="AD109" s="32">
        <f t="shared" si="22"/>
        <v>65.691000000000003</v>
      </c>
      <c r="AE109" s="32">
        <f t="shared" si="22"/>
        <v>66.501000000000005</v>
      </c>
      <c r="AF109" s="32">
        <f t="shared" si="22"/>
        <v>67.310999999999993</v>
      </c>
      <c r="AG109" s="32">
        <f t="shared" si="22"/>
        <v>68.120999999999995</v>
      </c>
      <c r="AH109" s="32">
        <f t="shared" si="22"/>
        <v>68.931000000000012</v>
      </c>
      <c r="AI109" s="32">
        <f t="shared" si="22"/>
        <v>69.741</v>
      </c>
      <c r="AJ109" s="32">
        <f t="shared" si="22"/>
        <v>70.551000000000002</v>
      </c>
      <c r="AK109" s="32">
        <f t="shared" si="22"/>
        <v>71.36099999999999</v>
      </c>
      <c r="AL109" s="32">
        <f t="shared" si="22"/>
        <v>72.171000000000006</v>
      </c>
      <c r="AM109" s="32">
        <f t="shared" si="22"/>
        <v>72.981000000000009</v>
      </c>
      <c r="AN109" s="32">
        <f t="shared" si="22"/>
        <v>73.790999999999997</v>
      </c>
      <c r="AO109" s="32">
        <f t="shared" si="22"/>
        <v>74.600999999999999</v>
      </c>
      <c r="AP109" s="32">
        <f t="shared" si="22"/>
        <v>75.411000000000001</v>
      </c>
      <c r="AQ109" s="32">
        <f t="shared" si="22"/>
        <v>76.221000000000004</v>
      </c>
      <c r="AR109" s="32">
        <f t="shared" si="22"/>
        <v>77.031000000000006</v>
      </c>
      <c r="AS109" s="32">
        <f t="shared" si="22"/>
        <v>77.840999999999994</v>
      </c>
      <c r="AT109" s="32">
        <f t="shared" si="23"/>
        <v>78.650999999999996</v>
      </c>
      <c r="AU109" s="32">
        <f t="shared" si="23"/>
        <v>79.460999999999999</v>
      </c>
      <c r="AV109" s="32">
        <f t="shared" si="23"/>
        <v>80.271000000000001</v>
      </c>
      <c r="AW109" s="32">
        <f t="shared" si="23"/>
        <v>81.081000000000003</v>
      </c>
      <c r="AX109" s="32">
        <f t="shared" si="23"/>
        <v>81.890999999999991</v>
      </c>
      <c r="AY109" s="32">
        <f t="shared" si="23"/>
        <v>82.701000000000008</v>
      </c>
      <c r="AZ109" s="32">
        <f t="shared" si="23"/>
        <v>83.510999999999996</v>
      </c>
      <c r="BA109" s="16"/>
    </row>
    <row r="110" spans="1:53" hidden="1" x14ac:dyDescent="0.25">
      <c r="A110" s="16"/>
      <c r="B110" s="31">
        <v>42</v>
      </c>
      <c r="C110" s="32">
        <f t="shared" ref="C110:R125" si="25">(C$16-100+$B110/10)*0.9*0.9</f>
        <v>43.902000000000001</v>
      </c>
      <c r="D110" s="32">
        <f t="shared" si="25"/>
        <v>44.71200000000001</v>
      </c>
      <c r="E110" s="32">
        <f t="shared" si="25"/>
        <v>45.522000000000006</v>
      </c>
      <c r="F110" s="32">
        <f t="shared" si="25"/>
        <v>46.332000000000008</v>
      </c>
      <c r="G110" s="32">
        <f t="shared" si="25"/>
        <v>47.142000000000003</v>
      </c>
      <c r="H110" s="32">
        <f t="shared" si="25"/>
        <v>47.952000000000005</v>
      </c>
      <c r="I110" s="32">
        <f t="shared" si="25"/>
        <v>48.762000000000008</v>
      </c>
      <c r="J110" s="32">
        <f t="shared" si="25"/>
        <v>49.572000000000003</v>
      </c>
      <c r="K110" s="32">
        <f t="shared" si="25"/>
        <v>50.382000000000005</v>
      </c>
      <c r="L110" s="32">
        <f t="shared" si="25"/>
        <v>51.192</v>
      </c>
      <c r="M110" s="32">
        <f t="shared" si="25"/>
        <v>52.002000000000002</v>
      </c>
      <c r="N110" s="32">
        <f t="shared" si="25"/>
        <v>52.812000000000005</v>
      </c>
      <c r="O110" s="32">
        <f t="shared" si="25"/>
        <v>53.622000000000007</v>
      </c>
      <c r="P110" s="32">
        <f t="shared" si="25"/>
        <v>54.432000000000002</v>
      </c>
      <c r="Q110" s="32">
        <f t="shared" si="25"/>
        <v>55.242000000000004</v>
      </c>
      <c r="R110" s="32">
        <f t="shared" si="25"/>
        <v>56.052</v>
      </c>
      <c r="S110" s="32">
        <f t="shared" si="24"/>
        <v>56.862000000000009</v>
      </c>
      <c r="T110" s="186">
        <f t="shared" si="24"/>
        <v>57.671999999999997</v>
      </c>
      <c r="U110" s="32">
        <f t="shared" si="24"/>
        <v>58.482000000000006</v>
      </c>
      <c r="V110" s="32">
        <f t="shared" si="24"/>
        <v>59.292000000000009</v>
      </c>
      <c r="W110" s="32">
        <f t="shared" si="24"/>
        <v>60.102000000000004</v>
      </c>
      <c r="X110" s="32">
        <f t="shared" si="24"/>
        <v>60.912000000000006</v>
      </c>
      <c r="Y110" s="32">
        <f t="shared" si="24"/>
        <v>61.722000000000001</v>
      </c>
      <c r="Z110" s="32">
        <f t="shared" si="24"/>
        <v>62.532000000000004</v>
      </c>
      <c r="AA110" s="32">
        <f t="shared" si="21"/>
        <v>63.342000000000013</v>
      </c>
      <c r="AB110" s="32">
        <f t="shared" si="21"/>
        <v>64.152000000000001</v>
      </c>
      <c r="AC110" s="32">
        <f t="shared" si="21"/>
        <v>64.962000000000003</v>
      </c>
      <c r="AD110" s="32">
        <f t="shared" si="22"/>
        <v>65.772000000000006</v>
      </c>
      <c r="AE110" s="32">
        <f t="shared" si="22"/>
        <v>66.582000000000008</v>
      </c>
      <c r="AF110" s="32">
        <f t="shared" si="22"/>
        <v>67.39200000000001</v>
      </c>
      <c r="AG110" s="32">
        <f t="shared" si="22"/>
        <v>68.201999999999998</v>
      </c>
      <c r="AH110" s="32">
        <f t="shared" si="22"/>
        <v>69.012000000000015</v>
      </c>
      <c r="AI110" s="32">
        <f t="shared" si="22"/>
        <v>69.822000000000003</v>
      </c>
      <c r="AJ110" s="32">
        <f t="shared" si="22"/>
        <v>70.632000000000005</v>
      </c>
      <c r="AK110" s="32">
        <f t="shared" si="22"/>
        <v>71.442000000000007</v>
      </c>
      <c r="AL110" s="32">
        <f t="shared" si="22"/>
        <v>72.25200000000001</v>
      </c>
      <c r="AM110" s="32">
        <f t="shared" si="22"/>
        <v>73.062000000000012</v>
      </c>
      <c r="AN110" s="32">
        <f t="shared" si="22"/>
        <v>73.872</v>
      </c>
      <c r="AO110" s="32">
        <f t="shared" si="22"/>
        <v>74.682000000000002</v>
      </c>
      <c r="AP110" s="32">
        <f t="shared" si="22"/>
        <v>75.492000000000004</v>
      </c>
      <c r="AQ110" s="32">
        <f t="shared" si="22"/>
        <v>76.302000000000007</v>
      </c>
      <c r="AR110" s="32">
        <f t="shared" si="22"/>
        <v>77.112000000000009</v>
      </c>
      <c r="AS110" s="32">
        <f t="shared" si="22"/>
        <v>77.921999999999997</v>
      </c>
      <c r="AT110" s="32">
        <f t="shared" si="23"/>
        <v>78.731999999999999</v>
      </c>
      <c r="AU110" s="32">
        <f t="shared" si="23"/>
        <v>79.542000000000016</v>
      </c>
      <c r="AV110" s="32">
        <f t="shared" si="23"/>
        <v>80.352000000000004</v>
      </c>
      <c r="AW110" s="32">
        <f t="shared" si="23"/>
        <v>81.162000000000006</v>
      </c>
      <c r="AX110" s="32">
        <f t="shared" si="23"/>
        <v>81.971999999999994</v>
      </c>
      <c r="AY110" s="32">
        <f t="shared" si="23"/>
        <v>82.782000000000011</v>
      </c>
      <c r="AZ110" s="32">
        <f t="shared" si="23"/>
        <v>83.592000000000013</v>
      </c>
      <c r="BA110" s="16"/>
    </row>
    <row r="111" spans="1:53" hidden="1" x14ac:dyDescent="0.25">
      <c r="A111" s="16"/>
      <c r="B111" s="31">
        <v>43</v>
      </c>
      <c r="C111" s="32">
        <f t="shared" si="25"/>
        <v>43.982999999999997</v>
      </c>
      <c r="D111" s="32">
        <f t="shared" si="25"/>
        <v>44.792999999999999</v>
      </c>
      <c r="E111" s="32">
        <f t="shared" si="25"/>
        <v>45.603000000000002</v>
      </c>
      <c r="F111" s="32">
        <f t="shared" si="25"/>
        <v>46.413000000000004</v>
      </c>
      <c r="G111" s="32">
        <f t="shared" si="25"/>
        <v>47.222999999999999</v>
      </c>
      <c r="H111" s="32">
        <f t="shared" si="25"/>
        <v>48.033000000000001</v>
      </c>
      <c r="I111" s="32">
        <f t="shared" si="25"/>
        <v>48.842999999999996</v>
      </c>
      <c r="J111" s="32">
        <f t="shared" si="25"/>
        <v>49.653000000000006</v>
      </c>
      <c r="K111" s="32">
        <f t="shared" si="25"/>
        <v>50.463000000000001</v>
      </c>
      <c r="L111" s="32">
        <f t="shared" si="25"/>
        <v>51.273000000000003</v>
      </c>
      <c r="M111" s="32">
        <f t="shared" si="25"/>
        <v>52.082999999999998</v>
      </c>
      <c r="N111" s="32">
        <f t="shared" si="25"/>
        <v>52.893000000000001</v>
      </c>
      <c r="O111" s="32">
        <f t="shared" si="25"/>
        <v>53.703000000000003</v>
      </c>
      <c r="P111" s="32">
        <f t="shared" si="25"/>
        <v>54.512999999999998</v>
      </c>
      <c r="Q111" s="32">
        <f t="shared" si="25"/>
        <v>55.323</v>
      </c>
      <c r="R111" s="32">
        <f t="shared" si="25"/>
        <v>56.132999999999996</v>
      </c>
      <c r="S111" s="32">
        <f t="shared" si="24"/>
        <v>56.942999999999998</v>
      </c>
      <c r="T111" s="186">
        <f t="shared" si="24"/>
        <v>57.753</v>
      </c>
      <c r="U111" s="32">
        <f t="shared" si="24"/>
        <v>58.562999999999995</v>
      </c>
      <c r="V111" s="32">
        <f t="shared" si="24"/>
        <v>59.372999999999998</v>
      </c>
      <c r="W111" s="32">
        <f t="shared" si="24"/>
        <v>60.183000000000007</v>
      </c>
      <c r="X111" s="32">
        <f t="shared" si="24"/>
        <v>60.992999999999995</v>
      </c>
      <c r="Y111" s="32">
        <f t="shared" si="24"/>
        <v>61.803000000000004</v>
      </c>
      <c r="Z111" s="32">
        <f t="shared" si="24"/>
        <v>62.612999999999992</v>
      </c>
      <c r="AA111" s="32">
        <f t="shared" si="21"/>
        <v>63.423000000000002</v>
      </c>
      <c r="AB111" s="32">
        <f t="shared" si="21"/>
        <v>64.233000000000004</v>
      </c>
      <c r="AC111" s="32">
        <f t="shared" si="21"/>
        <v>65.042999999999992</v>
      </c>
      <c r="AD111" s="32">
        <f t="shared" si="22"/>
        <v>65.853000000000009</v>
      </c>
      <c r="AE111" s="32">
        <f t="shared" si="22"/>
        <v>66.662999999999997</v>
      </c>
      <c r="AF111" s="32">
        <f t="shared" si="22"/>
        <v>67.472999999999999</v>
      </c>
      <c r="AG111" s="32">
        <f t="shared" si="22"/>
        <v>68.283000000000001</v>
      </c>
      <c r="AH111" s="32">
        <f t="shared" si="22"/>
        <v>69.093000000000004</v>
      </c>
      <c r="AI111" s="32">
        <f t="shared" si="22"/>
        <v>69.903000000000006</v>
      </c>
      <c r="AJ111" s="32">
        <f t="shared" si="22"/>
        <v>70.712999999999994</v>
      </c>
      <c r="AK111" s="32">
        <f t="shared" si="22"/>
        <v>71.522999999999996</v>
      </c>
      <c r="AL111" s="32">
        <f t="shared" si="22"/>
        <v>72.333000000000013</v>
      </c>
      <c r="AM111" s="32">
        <f t="shared" si="22"/>
        <v>73.143000000000001</v>
      </c>
      <c r="AN111" s="32">
        <f t="shared" si="22"/>
        <v>73.953000000000003</v>
      </c>
      <c r="AO111" s="32">
        <f t="shared" si="22"/>
        <v>74.762999999999991</v>
      </c>
      <c r="AP111" s="32">
        <f t="shared" si="22"/>
        <v>75.573000000000008</v>
      </c>
      <c r="AQ111" s="32">
        <f t="shared" si="22"/>
        <v>76.38300000000001</v>
      </c>
      <c r="AR111" s="32">
        <f t="shared" si="22"/>
        <v>77.192999999999998</v>
      </c>
      <c r="AS111" s="32">
        <f t="shared" si="22"/>
        <v>78.003</v>
      </c>
      <c r="AT111" s="32">
        <f t="shared" si="23"/>
        <v>78.813000000000002</v>
      </c>
      <c r="AU111" s="32">
        <f t="shared" si="23"/>
        <v>79.623000000000005</v>
      </c>
      <c r="AV111" s="32">
        <f t="shared" si="23"/>
        <v>80.433000000000007</v>
      </c>
      <c r="AW111" s="32">
        <f t="shared" si="23"/>
        <v>81.242999999999995</v>
      </c>
      <c r="AX111" s="32">
        <f t="shared" si="23"/>
        <v>82.052999999999997</v>
      </c>
      <c r="AY111" s="32">
        <f t="shared" si="23"/>
        <v>82.863</v>
      </c>
      <c r="AZ111" s="32">
        <f t="shared" si="23"/>
        <v>83.673000000000002</v>
      </c>
      <c r="BA111" s="16"/>
    </row>
    <row r="112" spans="1:53" hidden="1" x14ac:dyDescent="0.25">
      <c r="A112" s="16"/>
      <c r="B112" s="31">
        <v>44</v>
      </c>
      <c r="C112" s="32">
        <f t="shared" si="25"/>
        <v>44.064</v>
      </c>
      <c r="D112" s="32">
        <f t="shared" si="25"/>
        <v>44.874000000000002</v>
      </c>
      <c r="E112" s="32">
        <f t="shared" si="25"/>
        <v>45.683999999999997</v>
      </c>
      <c r="F112" s="32">
        <f t="shared" si="25"/>
        <v>46.494</v>
      </c>
      <c r="G112" s="32">
        <f t="shared" si="25"/>
        <v>47.304000000000002</v>
      </c>
      <c r="H112" s="32">
        <f t="shared" si="25"/>
        <v>48.114000000000004</v>
      </c>
      <c r="I112" s="32">
        <f t="shared" si="25"/>
        <v>48.923999999999999</v>
      </c>
      <c r="J112" s="32">
        <f t="shared" si="25"/>
        <v>49.734000000000002</v>
      </c>
      <c r="K112" s="32">
        <f t="shared" si="25"/>
        <v>50.543999999999997</v>
      </c>
      <c r="L112" s="32">
        <f t="shared" si="25"/>
        <v>51.354000000000006</v>
      </c>
      <c r="M112" s="32">
        <f t="shared" si="25"/>
        <v>52.164000000000009</v>
      </c>
      <c r="N112" s="32">
        <f t="shared" si="25"/>
        <v>52.974000000000004</v>
      </c>
      <c r="O112" s="32">
        <f t="shared" si="25"/>
        <v>53.784000000000006</v>
      </c>
      <c r="P112" s="32">
        <f t="shared" si="25"/>
        <v>54.594000000000001</v>
      </c>
      <c r="Q112" s="32">
        <f t="shared" si="25"/>
        <v>55.404000000000011</v>
      </c>
      <c r="R112" s="32">
        <f t="shared" si="25"/>
        <v>56.214000000000006</v>
      </c>
      <c r="S112" s="32">
        <f t="shared" si="24"/>
        <v>57.024000000000008</v>
      </c>
      <c r="T112" s="186">
        <f t="shared" si="24"/>
        <v>57.834000000000003</v>
      </c>
      <c r="U112" s="32">
        <f t="shared" si="24"/>
        <v>58.644000000000013</v>
      </c>
      <c r="V112" s="32">
        <f t="shared" si="24"/>
        <v>59.454000000000001</v>
      </c>
      <c r="W112" s="32">
        <f t="shared" si="24"/>
        <v>60.26400000000001</v>
      </c>
      <c r="X112" s="32">
        <f t="shared" si="24"/>
        <v>61.074000000000012</v>
      </c>
      <c r="Y112" s="32">
        <f t="shared" si="24"/>
        <v>61.884000000000007</v>
      </c>
      <c r="Z112" s="32">
        <f t="shared" si="24"/>
        <v>62.69400000000001</v>
      </c>
      <c r="AA112" s="32">
        <f t="shared" si="21"/>
        <v>63.504000000000005</v>
      </c>
      <c r="AB112" s="32">
        <f t="shared" si="21"/>
        <v>64.314000000000007</v>
      </c>
      <c r="AC112" s="32">
        <f t="shared" si="21"/>
        <v>65.124000000000009</v>
      </c>
      <c r="AD112" s="32">
        <f t="shared" si="22"/>
        <v>65.934000000000012</v>
      </c>
      <c r="AE112" s="32">
        <f t="shared" si="22"/>
        <v>66.744000000000014</v>
      </c>
      <c r="AF112" s="32">
        <f t="shared" si="22"/>
        <v>67.554000000000002</v>
      </c>
      <c r="AG112" s="32">
        <f t="shared" si="22"/>
        <v>68.364000000000004</v>
      </c>
      <c r="AH112" s="32">
        <f t="shared" si="22"/>
        <v>69.174000000000021</v>
      </c>
      <c r="AI112" s="32">
        <f t="shared" si="22"/>
        <v>69.984000000000009</v>
      </c>
      <c r="AJ112" s="32">
        <f t="shared" si="22"/>
        <v>70.794000000000011</v>
      </c>
      <c r="AK112" s="32">
        <f t="shared" si="22"/>
        <v>71.603999999999999</v>
      </c>
      <c r="AL112" s="32">
        <f t="shared" si="22"/>
        <v>72.414000000000016</v>
      </c>
      <c r="AM112" s="32">
        <f t="shared" si="22"/>
        <v>73.224000000000018</v>
      </c>
      <c r="AN112" s="32">
        <f t="shared" si="22"/>
        <v>74.034000000000006</v>
      </c>
      <c r="AO112" s="32">
        <f t="shared" si="22"/>
        <v>74.844000000000008</v>
      </c>
      <c r="AP112" s="32">
        <f t="shared" si="22"/>
        <v>75.654000000000011</v>
      </c>
      <c r="AQ112" s="32">
        <f t="shared" si="22"/>
        <v>76.464000000000013</v>
      </c>
      <c r="AR112" s="32">
        <f t="shared" ref="AR112:AZ127" si="26">(AR$16-100+$B112/10)*0.9*0.9</f>
        <v>77.274000000000015</v>
      </c>
      <c r="AS112" s="32">
        <f t="shared" si="26"/>
        <v>78.084000000000003</v>
      </c>
      <c r="AT112" s="32">
        <f t="shared" si="26"/>
        <v>78.894000000000005</v>
      </c>
      <c r="AU112" s="32">
        <f t="shared" si="26"/>
        <v>79.704000000000008</v>
      </c>
      <c r="AV112" s="32">
        <f t="shared" si="26"/>
        <v>80.51400000000001</v>
      </c>
      <c r="AW112" s="32">
        <f t="shared" si="26"/>
        <v>81.324000000000012</v>
      </c>
      <c r="AX112" s="32">
        <f t="shared" si="26"/>
        <v>82.134</v>
      </c>
      <c r="AY112" s="32">
        <f t="shared" si="26"/>
        <v>82.944000000000017</v>
      </c>
      <c r="AZ112" s="32">
        <f t="shared" si="26"/>
        <v>83.754000000000005</v>
      </c>
      <c r="BA112" s="16"/>
    </row>
    <row r="113" spans="1:53" hidden="1" x14ac:dyDescent="0.25">
      <c r="A113" s="16"/>
      <c r="B113" s="31">
        <v>45</v>
      </c>
      <c r="C113" s="32">
        <f t="shared" si="25"/>
        <v>44.145000000000003</v>
      </c>
      <c r="D113" s="32">
        <f t="shared" si="25"/>
        <v>44.955000000000005</v>
      </c>
      <c r="E113" s="32">
        <f t="shared" si="25"/>
        <v>45.765000000000001</v>
      </c>
      <c r="F113" s="32">
        <f t="shared" si="25"/>
        <v>46.575000000000003</v>
      </c>
      <c r="G113" s="32">
        <f t="shared" si="25"/>
        <v>47.384999999999998</v>
      </c>
      <c r="H113" s="32">
        <f t="shared" si="25"/>
        <v>48.195000000000007</v>
      </c>
      <c r="I113" s="32">
        <f t="shared" si="25"/>
        <v>49.005000000000003</v>
      </c>
      <c r="J113" s="32">
        <f t="shared" si="25"/>
        <v>49.815000000000005</v>
      </c>
      <c r="K113" s="32">
        <f t="shared" si="25"/>
        <v>50.625</v>
      </c>
      <c r="L113" s="32">
        <f t="shared" si="25"/>
        <v>51.435000000000002</v>
      </c>
      <c r="M113" s="32">
        <f t="shared" si="25"/>
        <v>52.245000000000005</v>
      </c>
      <c r="N113" s="32">
        <f t="shared" si="25"/>
        <v>53.055000000000007</v>
      </c>
      <c r="O113" s="32">
        <f t="shared" si="25"/>
        <v>53.865000000000002</v>
      </c>
      <c r="P113" s="32">
        <f t="shared" si="25"/>
        <v>54.675000000000004</v>
      </c>
      <c r="Q113" s="32">
        <f t="shared" si="25"/>
        <v>55.484999999999999</v>
      </c>
      <c r="R113" s="32">
        <f t="shared" si="25"/>
        <v>56.295000000000002</v>
      </c>
      <c r="S113" s="32">
        <f t="shared" si="24"/>
        <v>57.105000000000004</v>
      </c>
      <c r="T113" s="186">
        <f t="shared" si="24"/>
        <v>57.915000000000006</v>
      </c>
      <c r="U113" s="32">
        <f t="shared" si="24"/>
        <v>58.725000000000001</v>
      </c>
      <c r="V113" s="32">
        <f t="shared" si="24"/>
        <v>59.535000000000004</v>
      </c>
      <c r="W113" s="32">
        <f t="shared" si="24"/>
        <v>60.344999999999999</v>
      </c>
      <c r="X113" s="32">
        <f t="shared" si="24"/>
        <v>61.155000000000001</v>
      </c>
      <c r="Y113" s="32">
        <f t="shared" si="24"/>
        <v>61.965000000000011</v>
      </c>
      <c r="Z113" s="32">
        <f t="shared" si="24"/>
        <v>62.774999999999999</v>
      </c>
      <c r="AA113" s="32">
        <f t="shared" si="21"/>
        <v>63.585000000000008</v>
      </c>
      <c r="AB113" s="32">
        <f t="shared" si="21"/>
        <v>64.394999999999996</v>
      </c>
      <c r="AC113" s="32">
        <f t="shared" si="21"/>
        <v>65.204999999999998</v>
      </c>
      <c r="AD113" s="32">
        <f t="shared" ref="AD113:AS130" si="27">(AD$16-100+$B113/10)*0.9*0.9</f>
        <v>66.015000000000015</v>
      </c>
      <c r="AE113" s="32">
        <f t="shared" si="27"/>
        <v>66.825000000000003</v>
      </c>
      <c r="AF113" s="32">
        <f t="shared" si="27"/>
        <v>67.635000000000005</v>
      </c>
      <c r="AG113" s="32">
        <f t="shared" si="27"/>
        <v>68.444999999999993</v>
      </c>
      <c r="AH113" s="32">
        <f t="shared" si="27"/>
        <v>69.25500000000001</v>
      </c>
      <c r="AI113" s="32">
        <f t="shared" si="27"/>
        <v>70.065000000000012</v>
      </c>
      <c r="AJ113" s="32">
        <f t="shared" si="27"/>
        <v>70.875</v>
      </c>
      <c r="AK113" s="32">
        <f t="shared" si="27"/>
        <v>71.685000000000002</v>
      </c>
      <c r="AL113" s="32">
        <f t="shared" si="27"/>
        <v>72.495000000000005</v>
      </c>
      <c r="AM113" s="32">
        <f t="shared" si="27"/>
        <v>73.305000000000007</v>
      </c>
      <c r="AN113" s="32">
        <f t="shared" si="27"/>
        <v>74.115000000000009</v>
      </c>
      <c r="AO113" s="32">
        <f t="shared" si="27"/>
        <v>74.924999999999997</v>
      </c>
      <c r="AP113" s="32">
        <f t="shared" si="27"/>
        <v>75.735000000000014</v>
      </c>
      <c r="AQ113" s="32">
        <f t="shared" si="27"/>
        <v>76.545000000000002</v>
      </c>
      <c r="AR113" s="32">
        <f t="shared" si="27"/>
        <v>77.355000000000004</v>
      </c>
      <c r="AS113" s="32">
        <f t="shared" si="27"/>
        <v>78.165000000000006</v>
      </c>
      <c r="AT113" s="32">
        <f t="shared" si="26"/>
        <v>78.975000000000009</v>
      </c>
      <c r="AU113" s="32">
        <f t="shared" si="26"/>
        <v>79.785000000000011</v>
      </c>
      <c r="AV113" s="32">
        <f t="shared" si="26"/>
        <v>80.594999999999999</v>
      </c>
      <c r="AW113" s="32">
        <f t="shared" si="26"/>
        <v>81.405000000000001</v>
      </c>
      <c r="AX113" s="32">
        <f t="shared" si="26"/>
        <v>82.215000000000003</v>
      </c>
      <c r="AY113" s="32">
        <f t="shared" si="26"/>
        <v>83.025000000000006</v>
      </c>
      <c r="AZ113" s="32">
        <f t="shared" si="26"/>
        <v>83.835000000000008</v>
      </c>
      <c r="BA113" s="16"/>
    </row>
    <row r="114" spans="1:53" hidden="1" x14ac:dyDescent="0.25">
      <c r="A114" s="16"/>
      <c r="B114" s="31">
        <v>46</v>
      </c>
      <c r="C114" s="32">
        <f t="shared" si="25"/>
        <v>44.225999999999999</v>
      </c>
      <c r="D114" s="32">
        <f t="shared" si="25"/>
        <v>45.036000000000001</v>
      </c>
      <c r="E114" s="32">
        <f t="shared" si="25"/>
        <v>45.846000000000004</v>
      </c>
      <c r="F114" s="32">
        <f t="shared" si="25"/>
        <v>46.656000000000006</v>
      </c>
      <c r="G114" s="32">
        <f t="shared" si="25"/>
        <v>47.466000000000001</v>
      </c>
      <c r="H114" s="32">
        <f t="shared" si="25"/>
        <v>48.276000000000003</v>
      </c>
      <c r="I114" s="32">
        <f t="shared" si="25"/>
        <v>49.085999999999999</v>
      </c>
      <c r="J114" s="32">
        <f t="shared" si="25"/>
        <v>49.896000000000008</v>
      </c>
      <c r="K114" s="32">
        <f t="shared" si="25"/>
        <v>50.706000000000003</v>
      </c>
      <c r="L114" s="32">
        <f t="shared" si="25"/>
        <v>51.516000000000005</v>
      </c>
      <c r="M114" s="32">
        <f t="shared" si="25"/>
        <v>52.325999999999993</v>
      </c>
      <c r="N114" s="32">
        <f t="shared" si="25"/>
        <v>53.136000000000003</v>
      </c>
      <c r="O114" s="32">
        <f t="shared" si="25"/>
        <v>53.945999999999998</v>
      </c>
      <c r="P114" s="32">
        <f t="shared" si="25"/>
        <v>54.756</v>
      </c>
      <c r="Q114" s="32">
        <f t="shared" si="25"/>
        <v>55.565999999999995</v>
      </c>
      <c r="R114" s="32">
        <f t="shared" si="25"/>
        <v>56.375999999999998</v>
      </c>
      <c r="S114" s="32">
        <f t="shared" si="24"/>
        <v>57.186</v>
      </c>
      <c r="T114" s="186">
        <f t="shared" si="24"/>
        <v>57.996000000000002</v>
      </c>
      <c r="U114" s="32">
        <f t="shared" si="24"/>
        <v>58.806000000000004</v>
      </c>
      <c r="V114" s="32">
        <f t="shared" si="24"/>
        <v>59.616</v>
      </c>
      <c r="W114" s="32">
        <f t="shared" si="24"/>
        <v>60.426000000000002</v>
      </c>
      <c r="X114" s="32">
        <f t="shared" si="24"/>
        <v>61.235999999999997</v>
      </c>
      <c r="Y114" s="32">
        <f t="shared" si="24"/>
        <v>62.045999999999999</v>
      </c>
      <c r="Z114" s="32">
        <f t="shared" si="24"/>
        <v>62.856000000000002</v>
      </c>
      <c r="AA114" s="32">
        <f t="shared" si="21"/>
        <v>63.665999999999997</v>
      </c>
      <c r="AB114" s="32">
        <f t="shared" si="21"/>
        <v>64.475999999999999</v>
      </c>
      <c r="AC114" s="32">
        <f t="shared" si="21"/>
        <v>65.286000000000001</v>
      </c>
      <c r="AD114" s="32">
        <f t="shared" si="27"/>
        <v>66.096000000000004</v>
      </c>
      <c r="AE114" s="32">
        <f t="shared" si="27"/>
        <v>66.906000000000006</v>
      </c>
      <c r="AF114" s="32">
        <f t="shared" si="27"/>
        <v>67.715999999999994</v>
      </c>
      <c r="AG114" s="32">
        <f t="shared" si="27"/>
        <v>68.525999999999996</v>
      </c>
      <c r="AH114" s="32">
        <f t="shared" si="27"/>
        <v>69.335999999999999</v>
      </c>
      <c r="AI114" s="32">
        <f t="shared" si="27"/>
        <v>70.146000000000001</v>
      </c>
      <c r="AJ114" s="32">
        <f t="shared" si="27"/>
        <v>70.956000000000003</v>
      </c>
      <c r="AK114" s="32">
        <f t="shared" si="27"/>
        <v>71.765999999999991</v>
      </c>
      <c r="AL114" s="32">
        <f t="shared" si="27"/>
        <v>72.576000000000008</v>
      </c>
      <c r="AM114" s="32">
        <f t="shared" si="27"/>
        <v>73.385999999999996</v>
      </c>
      <c r="AN114" s="32">
        <f t="shared" si="27"/>
        <v>74.195999999999998</v>
      </c>
      <c r="AO114" s="32">
        <f t="shared" si="27"/>
        <v>75.006</v>
      </c>
      <c r="AP114" s="32">
        <f t="shared" si="27"/>
        <v>75.816000000000003</v>
      </c>
      <c r="AQ114" s="32">
        <f t="shared" si="27"/>
        <v>76.626000000000005</v>
      </c>
      <c r="AR114" s="32">
        <f t="shared" si="27"/>
        <v>77.435999999999993</v>
      </c>
      <c r="AS114" s="32">
        <f t="shared" si="27"/>
        <v>78.245999999999995</v>
      </c>
      <c r="AT114" s="32">
        <f t="shared" si="26"/>
        <v>79.056000000000012</v>
      </c>
      <c r="AU114" s="32">
        <f t="shared" si="26"/>
        <v>79.866</v>
      </c>
      <c r="AV114" s="32">
        <f t="shared" si="26"/>
        <v>80.676000000000002</v>
      </c>
      <c r="AW114" s="32">
        <f t="shared" si="26"/>
        <v>81.48599999999999</v>
      </c>
      <c r="AX114" s="32">
        <f t="shared" si="26"/>
        <v>82.296000000000006</v>
      </c>
      <c r="AY114" s="32">
        <f t="shared" si="26"/>
        <v>83.106000000000009</v>
      </c>
      <c r="AZ114" s="32">
        <f t="shared" si="26"/>
        <v>83.915999999999997</v>
      </c>
      <c r="BA114" s="16"/>
    </row>
    <row r="115" spans="1:53" hidden="1" x14ac:dyDescent="0.25">
      <c r="A115" s="16"/>
      <c r="B115" s="31">
        <v>47</v>
      </c>
      <c r="C115" s="32">
        <f t="shared" si="25"/>
        <v>44.307000000000002</v>
      </c>
      <c r="D115" s="32">
        <f t="shared" si="25"/>
        <v>45.117000000000004</v>
      </c>
      <c r="E115" s="32">
        <f t="shared" si="25"/>
        <v>45.927</v>
      </c>
      <c r="F115" s="32">
        <f t="shared" si="25"/>
        <v>46.737000000000009</v>
      </c>
      <c r="G115" s="32">
        <f t="shared" si="25"/>
        <v>47.547000000000004</v>
      </c>
      <c r="H115" s="32">
        <f t="shared" si="25"/>
        <v>48.357000000000006</v>
      </c>
      <c r="I115" s="32">
        <f t="shared" si="25"/>
        <v>49.167000000000002</v>
      </c>
      <c r="J115" s="32">
        <f t="shared" si="25"/>
        <v>49.977000000000004</v>
      </c>
      <c r="K115" s="32">
        <f t="shared" si="25"/>
        <v>50.787000000000006</v>
      </c>
      <c r="L115" s="32">
        <f t="shared" si="25"/>
        <v>51.597000000000008</v>
      </c>
      <c r="M115" s="32">
        <f t="shared" si="25"/>
        <v>52.407000000000004</v>
      </c>
      <c r="N115" s="32">
        <f t="shared" si="25"/>
        <v>53.217000000000006</v>
      </c>
      <c r="O115" s="32">
        <f t="shared" si="25"/>
        <v>54.027000000000001</v>
      </c>
      <c r="P115" s="32">
        <f t="shared" si="25"/>
        <v>54.83700000000001</v>
      </c>
      <c r="Q115" s="32">
        <f t="shared" si="25"/>
        <v>55.647000000000006</v>
      </c>
      <c r="R115" s="32">
        <f t="shared" si="25"/>
        <v>56.457000000000008</v>
      </c>
      <c r="S115" s="32">
        <f t="shared" si="24"/>
        <v>57.267000000000003</v>
      </c>
      <c r="T115" s="186">
        <f t="shared" si="24"/>
        <v>58.077000000000005</v>
      </c>
      <c r="U115" s="32">
        <f t="shared" si="24"/>
        <v>58.887000000000008</v>
      </c>
      <c r="V115" s="32">
        <f t="shared" si="24"/>
        <v>59.697000000000003</v>
      </c>
      <c r="W115" s="32">
        <f t="shared" si="24"/>
        <v>60.507000000000005</v>
      </c>
      <c r="X115" s="32">
        <f t="shared" si="24"/>
        <v>61.317000000000007</v>
      </c>
      <c r="Y115" s="32">
        <f t="shared" si="24"/>
        <v>62.127000000000002</v>
      </c>
      <c r="Z115" s="32">
        <f t="shared" si="24"/>
        <v>62.937000000000005</v>
      </c>
      <c r="AA115" s="32">
        <f t="shared" si="21"/>
        <v>63.747</v>
      </c>
      <c r="AB115" s="32">
        <f t="shared" si="21"/>
        <v>64.557000000000002</v>
      </c>
      <c r="AC115" s="32">
        <f t="shared" si="21"/>
        <v>65.367000000000004</v>
      </c>
      <c r="AD115" s="32">
        <f t="shared" si="27"/>
        <v>66.177000000000007</v>
      </c>
      <c r="AE115" s="32">
        <f t="shared" si="27"/>
        <v>66.987000000000009</v>
      </c>
      <c r="AF115" s="32">
        <f t="shared" si="27"/>
        <v>67.796999999999997</v>
      </c>
      <c r="AG115" s="32">
        <f t="shared" si="27"/>
        <v>68.606999999999999</v>
      </c>
      <c r="AH115" s="32">
        <f t="shared" si="27"/>
        <v>69.417000000000016</v>
      </c>
      <c r="AI115" s="32">
        <f t="shared" si="27"/>
        <v>70.227000000000004</v>
      </c>
      <c r="AJ115" s="32">
        <f t="shared" si="27"/>
        <v>71.037000000000006</v>
      </c>
      <c r="AK115" s="32">
        <f t="shared" si="27"/>
        <v>71.846999999999994</v>
      </c>
      <c r="AL115" s="32">
        <f t="shared" si="27"/>
        <v>72.657000000000011</v>
      </c>
      <c r="AM115" s="32">
        <f t="shared" si="27"/>
        <v>73.467000000000013</v>
      </c>
      <c r="AN115" s="32">
        <f t="shared" si="27"/>
        <v>74.277000000000001</v>
      </c>
      <c r="AO115" s="32">
        <f t="shared" si="27"/>
        <v>75.087000000000003</v>
      </c>
      <c r="AP115" s="32">
        <f t="shared" si="27"/>
        <v>75.897000000000006</v>
      </c>
      <c r="AQ115" s="32">
        <f t="shared" si="27"/>
        <v>76.707000000000008</v>
      </c>
      <c r="AR115" s="32">
        <f t="shared" si="27"/>
        <v>77.51700000000001</v>
      </c>
      <c r="AS115" s="32">
        <f t="shared" si="27"/>
        <v>78.326999999999998</v>
      </c>
      <c r="AT115" s="32">
        <f t="shared" si="26"/>
        <v>79.137000000000015</v>
      </c>
      <c r="AU115" s="32">
        <f t="shared" si="26"/>
        <v>79.947000000000003</v>
      </c>
      <c r="AV115" s="32">
        <f t="shared" si="26"/>
        <v>80.757000000000005</v>
      </c>
      <c r="AW115" s="32">
        <f t="shared" si="26"/>
        <v>81.567000000000007</v>
      </c>
      <c r="AX115" s="32">
        <f t="shared" si="26"/>
        <v>82.37700000000001</v>
      </c>
      <c r="AY115" s="32">
        <f t="shared" si="26"/>
        <v>83.187000000000012</v>
      </c>
      <c r="AZ115" s="32">
        <f t="shared" si="26"/>
        <v>83.997</v>
      </c>
      <c r="BA115" s="16"/>
    </row>
    <row r="116" spans="1:53" hidden="1" x14ac:dyDescent="0.25">
      <c r="A116" s="16"/>
      <c r="B116" s="31">
        <v>48</v>
      </c>
      <c r="C116" s="32">
        <f t="shared" si="25"/>
        <v>44.387999999999998</v>
      </c>
      <c r="D116" s="32">
        <f t="shared" si="25"/>
        <v>45.198</v>
      </c>
      <c r="E116" s="32">
        <f t="shared" si="25"/>
        <v>46.007999999999996</v>
      </c>
      <c r="F116" s="32">
        <f t="shared" si="25"/>
        <v>46.817999999999998</v>
      </c>
      <c r="G116" s="32">
        <f t="shared" si="25"/>
        <v>47.628</v>
      </c>
      <c r="H116" s="32">
        <f t="shared" si="25"/>
        <v>48.438000000000002</v>
      </c>
      <c r="I116" s="32">
        <f t="shared" si="25"/>
        <v>49.247999999999998</v>
      </c>
      <c r="J116" s="32">
        <f t="shared" si="25"/>
        <v>50.058</v>
      </c>
      <c r="K116" s="32">
        <f t="shared" si="25"/>
        <v>50.867999999999995</v>
      </c>
      <c r="L116" s="32">
        <f t="shared" si="25"/>
        <v>51.678000000000004</v>
      </c>
      <c r="M116" s="32">
        <f t="shared" si="25"/>
        <v>52.488</v>
      </c>
      <c r="N116" s="32">
        <f t="shared" si="25"/>
        <v>53.298000000000002</v>
      </c>
      <c r="O116" s="32">
        <f t="shared" si="25"/>
        <v>54.107999999999997</v>
      </c>
      <c r="P116" s="32">
        <f t="shared" si="25"/>
        <v>54.917999999999999</v>
      </c>
      <c r="Q116" s="32">
        <f t="shared" si="25"/>
        <v>55.728000000000002</v>
      </c>
      <c r="R116" s="32">
        <f t="shared" si="25"/>
        <v>56.538000000000004</v>
      </c>
      <c r="S116" s="32">
        <f t="shared" si="24"/>
        <v>57.347999999999999</v>
      </c>
      <c r="T116" s="186">
        <f t="shared" si="24"/>
        <v>58.158000000000008</v>
      </c>
      <c r="U116" s="32">
        <f t="shared" si="24"/>
        <v>58.967999999999996</v>
      </c>
      <c r="V116" s="32">
        <f t="shared" si="24"/>
        <v>59.778000000000006</v>
      </c>
      <c r="W116" s="32">
        <f t="shared" si="24"/>
        <v>60.587999999999994</v>
      </c>
      <c r="X116" s="32">
        <f t="shared" si="24"/>
        <v>61.398000000000003</v>
      </c>
      <c r="Y116" s="32">
        <f t="shared" si="24"/>
        <v>62.208000000000006</v>
      </c>
      <c r="Z116" s="32">
        <f t="shared" si="24"/>
        <v>63.018000000000001</v>
      </c>
      <c r="AA116" s="32">
        <f t="shared" si="21"/>
        <v>63.828000000000003</v>
      </c>
      <c r="AB116" s="32">
        <f t="shared" si="21"/>
        <v>64.637999999999991</v>
      </c>
      <c r="AC116" s="32">
        <f t="shared" si="21"/>
        <v>65.448000000000008</v>
      </c>
      <c r="AD116" s="32">
        <f t="shared" si="27"/>
        <v>66.25800000000001</v>
      </c>
      <c r="AE116" s="32">
        <f t="shared" si="27"/>
        <v>67.067999999999998</v>
      </c>
      <c r="AF116" s="32">
        <f t="shared" si="27"/>
        <v>67.878</v>
      </c>
      <c r="AG116" s="32">
        <f t="shared" si="27"/>
        <v>68.688000000000002</v>
      </c>
      <c r="AH116" s="32">
        <f t="shared" si="27"/>
        <v>69.498000000000005</v>
      </c>
      <c r="AI116" s="32">
        <f t="shared" si="27"/>
        <v>70.308000000000007</v>
      </c>
      <c r="AJ116" s="32">
        <f t="shared" si="27"/>
        <v>71.117999999999995</v>
      </c>
      <c r="AK116" s="32">
        <f t="shared" si="27"/>
        <v>71.927999999999997</v>
      </c>
      <c r="AL116" s="32">
        <f t="shared" si="27"/>
        <v>72.738</v>
      </c>
      <c r="AM116" s="32">
        <f t="shared" si="27"/>
        <v>73.548000000000002</v>
      </c>
      <c r="AN116" s="32">
        <f t="shared" si="27"/>
        <v>74.358000000000004</v>
      </c>
      <c r="AO116" s="32">
        <f t="shared" si="27"/>
        <v>75.167999999999992</v>
      </c>
      <c r="AP116" s="32">
        <f t="shared" si="27"/>
        <v>75.978000000000009</v>
      </c>
      <c r="AQ116" s="32">
        <f t="shared" si="27"/>
        <v>76.787999999999997</v>
      </c>
      <c r="AR116" s="32">
        <f t="shared" si="27"/>
        <v>77.597999999999999</v>
      </c>
      <c r="AS116" s="32">
        <f t="shared" si="27"/>
        <v>78.408000000000001</v>
      </c>
      <c r="AT116" s="32">
        <f t="shared" si="26"/>
        <v>79.218000000000004</v>
      </c>
      <c r="AU116" s="32">
        <f t="shared" si="26"/>
        <v>80.028000000000006</v>
      </c>
      <c r="AV116" s="32">
        <f t="shared" si="26"/>
        <v>80.837999999999994</v>
      </c>
      <c r="AW116" s="32">
        <f t="shared" si="26"/>
        <v>81.647999999999996</v>
      </c>
      <c r="AX116" s="32">
        <f t="shared" si="26"/>
        <v>82.458000000000013</v>
      </c>
      <c r="AY116" s="32">
        <f t="shared" si="26"/>
        <v>83.268000000000001</v>
      </c>
      <c r="AZ116" s="32">
        <f t="shared" si="26"/>
        <v>84.078000000000003</v>
      </c>
      <c r="BA116" s="16"/>
    </row>
    <row r="117" spans="1:53" hidden="1" x14ac:dyDescent="0.25">
      <c r="A117" s="16"/>
      <c r="B117" s="31">
        <v>49</v>
      </c>
      <c r="C117" s="32">
        <f t="shared" si="25"/>
        <v>44.469000000000001</v>
      </c>
      <c r="D117" s="32">
        <f t="shared" si="25"/>
        <v>45.279000000000003</v>
      </c>
      <c r="E117" s="32">
        <f t="shared" si="25"/>
        <v>46.088999999999999</v>
      </c>
      <c r="F117" s="32">
        <f t="shared" si="25"/>
        <v>46.899000000000001</v>
      </c>
      <c r="G117" s="32">
        <f t="shared" si="25"/>
        <v>47.708999999999996</v>
      </c>
      <c r="H117" s="32">
        <f t="shared" si="25"/>
        <v>48.518999999999998</v>
      </c>
      <c r="I117" s="32">
        <f t="shared" si="25"/>
        <v>49.329000000000001</v>
      </c>
      <c r="J117" s="32">
        <f t="shared" si="25"/>
        <v>50.139000000000003</v>
      </c>
      <c r="K117" s="32">
        <f t="shared" si="25"/>
        <v>50.948999999999998</v>
      </c>
      <c r="L117" s="32">
        <f t="shared" si="25"/>
        <v>51.759</v>
      </c>
      <c r="M117" s="32">
        <f t="shared" si="25"/>
        <v>52.569000000000003</v>
      </c>
      <c r="N117" s="32">
        <f t="shared" si="25"/>
        <v>53.379000000000012</v>
      </c>
      <c r="O117" s="32">
        <f t="shared" si="25"/>
        <v>54.189000000000007</v>
      </c>
      <c r="P117" s="32">
        <f t="shared" si="25"/>
        <v>54.999000000000009</v>
      </c>
      <c r="Q117" s="32">
        <f t="shared" si="25"/>
        <v>55.809000000000005</v>
      </c>
      <c r="R117" s="32">
        <f t="shared" si="25"/>
        <v>56.619000000000007</v>
      </c>
      <c r="S117" s="32">
        <f t="shared" si="24"/>
        <v>57.429000000000009</v>
      </c>
      <c r="T117" s="186">
        <f t="shared" si="24"/>
        <v>58.239000000000011</v>
      </c>
      <c r="U117" s="32">
        <f t="shared" si="24"/>
        <v>59.049000000000014</v>
      </c>
      <c r="V117" s="32">
        <f t="shared" si="24"/>
        <v>59.859000000000009</v>
      </c>
      <c r="W117" s="32">
        <f t="shared" si="24"/>
        <v>60.669000000000011</v>
      </c>
      <c r="X117" s="32">
        <f t="shared" si="24"/>
        <v>61.479000000000006</v>
      </c>
      <c r="Y117" s="32">
        <f t="shared" si="24"/>
        <v>62.289000000000009</v>
      </c>
      <c r="Z117" s="32">
        <f t="shared" si="24"/>
        <v>63.099000000000011</v>
      </c>
      <c r="AA117" s="32">
        <f t="shared" si="21"/>
        <v>63.909000000000006</v>
      </c>
      <c r="AB117" s="32">
        <f t="shared" si="21"/>
        <v>64.719000000000008</v>
      </c>
      <c r="AC117" s="32">
        <f t="shared" si="21"/>
        <v>65.529000000000011</v>
      </c>
      <c r="AD117" s="32">
        <f t="shared" si="27"/>
        <v>66.339000000000013</v>
      </c>
      <c r="AE117" s="32">
        <f t="shared" si="27"/>
        <v>67.149000000000015</v>
      </c>
      <c r="AF117" s="32">
        <f t="shared" si="27"/>
        <v>67.959000000000003</v>
      </c>
      <c r="AG117" s="32">
        <f t="shared" si="27"/>
        <v>68.769000000000005</v>
      </c>
      <c r="AH117" s="32">
        <f t="shared" si="27"/>
        <v>69.579000000000008</v>
      </c>
      <c r="AI117" s="32">
        <f t="shared" si="27"/>
        <v>70.38900000000001</v>
      </c>
      <c r="AJ117" s="32">
        <f t="shared" si="27"/>
        <v>71.199000000000012</v>
      </c>
      <c r="AK117" s="32">
        <f t="shared" si="27"/>
        <v>72.009</v>
      </c>
      <c r="AL117" s="32">
        <f t="shared" si="27"/>
        <v>72.819000000000017</v>
      </c>
      <c r="AM117" s="32">
        <f t="shared" si="27"/>
        <v>73.629000000000005</v>
      </c>
      <c r="AN117" s="32">
        <f t="shared" si="27"/>
        <v>74.439000000000007</v>
      </c>
      <c r="AO117" s="32">
        <f t="shared" si="27"/>
        <v>75.249000000000009</v>
      </c>
      <c r="AP117" s="32">
        <f t="shared" si="27"/>
        <v>76.059000000000012</v>
      </c>
      <c r="AQ117" s="32">
        <f t="shared" si="27"/>
        <v>76.869000000000014</v>
      </c>
      <c r="AR117" s="32">
        <f t="shared" si="27"/>
        <v>77.679000000000002</v>
      </c>
      <c r="AS117" s="32">
        <f t="shared" si="27"/>
        <v>78.489000000000004</v>
      </c>
      <c r="AT117" s="32">
        <f t="shared" si="26"/>
        <v>79.299000000000021</v>
      </c>
      <c r="AU117" s="32">
        <f t="shared" si="26"/>
        <v>80.109000000000009</v>
      </c>
      <c r="AV117" s="32">
        <f t="shared" si="26"/>
        <v>80.919000000000011</v>
      </c>
      <c r="AW117" s="32">
        <f t="shared" si="26"/>
        <v>81.728999999999999</v>
      </c>
      <c r="AX117" s="32">
        <f t="shared" si="26"/>
        <v>82.539000000000016</v>
      </c>
      <c r="AY117" s="32">
        <f t="shared" si="26"/>
        <v>83.349000000000018</v>
      </c>
      <c r="AZ117" s="32">
        <f t="shared" si="26"/>
        <v>84.159000000000006</v>
      </c>
      <c r="BA117" s="16"/>
    </row>
    <row r="118" spans="1:53" hidden="1" x14ac:dyDescent="0.25">
      <c r="A118" s="16"/>
      <c r="B118" s="31">
        <v>50</v>
      </c>
      <c r="C118" s="32">
        <f t="shared" si="25"/>
        <v>44.550000000000004</v>
      </c>
      <c r="D118" s="32">
        <f t="shared" si="25"/>
        <v>45.36</v>
      </c>
      <c r="E118" s="32">
        <f t="shared" si="25"/>
        <v>46.17</v>
      </c>
      <c r="F118" s="32">
        <f t="shared" si="25"/>
        <v>46.980000000000004</v>
      </c>
      <c r="G118" s="32">
        <f t="shared" si="25"/>
        <v>47.79</v>
      </c>
      <c r="H118" s="32">
        <f t="shared" si="25"/>
        <v>48.6</v>
      </c>
      <c r="I118" s="32">
        <f t="shared" si="25"/>
        <v>49.41</v>
      </c>
      <c r="J118" s="32">
        <f t="shared" si="25"/>
        <v>50.220000000000006</v>
      </c>
      <c r="K118" s="32">
        <f t="shared" si="25"/>
        <v>51.03</v>
      </c>
      <c r="L118" s="32">
        <f t="shared" si="25"/>
        <v>51.84</v>
      </c>
      <c r="M118" s="32">
        <f t="shared" si="25"/>
        <v>52.65</v>
      </c>
      <c r="N118" s="32">
        <f t="shared" si="25"/>
        <v>53.46</v>
      </c>
      <c r="O118" s="32">
        <f t="shared" si="25"/>
        <v>54.27</v>
      </c>
      <c r="P118" s="32">
        <f t="shared" si="25"/>
        <v>55.080000000000005</v>
      </c>
      <c r="Q118" s="32">
        <f t="shared" si="25"/>
        <v>55.89</v>
      </c>
      <c r="R118" s="32">
        <f t="shared" si="25"/>
        <v>56.7</v>
      </c>
      <c r="S118" s="32">
        <f t="shared" si="24"/>
        <v>57.51</v>
      </c>
      <c r="T118" s="186">
        <f t="shared" si="24"/>
        <v>58.32</v>
      </c>
      <c r="U118" s="32">
        <f t="shared" si="24"/>
        <v>59.13</v>
      </c>
      <c r="V118" s="32">
        <f t="shared" si="24"/>
        <v>59.940000000000012</v>
      </c>
      <c r="W118" s="32">
        <f t="shared" si="24"/>
        <v>60.75</v>
      </c>
      <c r="X118" s="32">
        <f t="shared" si="24"/>
        <v>61.560000000000009</v>
      </c>
      <c r="Y118" s="32">
        <f t="shared" si="24"/>
        <v>62.37</v>
      </c>
      <c r="Z118" s="32">
        <f t="shared" si="24"/>
        <v>63.180000000000007</v>
      </c>
      <c r="AA118" s="32">
        <f t="shared" si="21"/>
        <v>63.990000000000009</v>
      </c>
      <c r="AB118" s="32">
        <f t="shared" si="21"/>
        <v>64.8</v>
      </c>
      <c r="AC118" s="32">
        <f t="shared" si="21"/>
        <v>65.610000000000014</v>
      </c>
      <c r="AD118" s="32">
        <f t="shared" si="27"/>
        <v>66.42</v>
      </c>
      <c r="AE118" s="32">
        <f t="shared" si="27"/>
        <v>67.23</v>
      </c>
      <c r="AF118" s="32">
        <f t="shared" si="27"/>
        <v>68.040000000000006</v>
      </c>
      <c r="AG118" s="32">
        <f t="shared" si="27"/>
        <v>68.850000000000009</v>
      </c>
      <c r="AH118" s="32">
        <f t="shared" si="27"/>
        <v>69.660000000000011</v>
      </c>
      <c r="AI118" s="32">
        <f t="shared" si="27"/>
        <v>70.47</v>
      </c>
      <c r="AJ118" s="32">
        <f t="shared" si="27"/>
        <v>71.28</v>
      </c>
      <c r="AK118" s="32">
        <f t="shared" si="27"/>
        <v>72.09</v>
      </c>
      <c r="AL118" s="32">
        <f t="shared" si="27"/>
        <v>72.900000000000006</v>
      </c>
      <c r="AM118" s="32">
        <f t="shared" si="27"/>
        <v>73.710000000000008</v>
      </c>
      <c r="AN118" s="32">
        <f t="shared" si="27"/>
        <v>74.52</v>
      </c>
      <c r="AO118" s="32">
        <f t="shared" si="27"/>
        <v>75.33</v>
      </c>
      <c r="AP118" s="32">
        <f t="shared" si="27"/>
        <v>76.140000000000015</v>
      </c>
      <c r="AQ118" s="32">
        <f t="shared" si="27"/>
        <v>76.95</v>
      </c>
      <c r="AR118" s="32">
        <f t="shared" si="27"/>
        <v>77.760000000000005</v>
      </c>
      <c r="AS118" s="32">
        <f t="shared" si="27"/>
        <v>78.569999999999993</v>
      </c>
      <c r="AT118" s="32">
        <f t="shared" si="26"/>
        <v>79.38000000000001</v>
      </c>
      <c r="AU118" s="32">
        <f t="shared" si="26"/>
        <v>80.190000000000012</v>
      </c>
      <c r="AV118" s="32">
        <f t="shared" si="26"/>
        <v>81</v>
      </c>
      <c r="AW118" s="32">
        <f t="shared" si="26"/>
        <v>81.81</v>
      </c>
      <c r="AX118" s="32">
        <f t="shared" si="26"/>
        <v>82.62</v>
      </c>
      <c r="AY118" s="32">
        <f t="shared" si="26"/>
        <v>83.43</v>
      </c>
      <c r="AZ118" s="32">
        <f t="shared" si="26"/>
        <v>84.240000000000009</v>
      </c>
      <c r="BA118" s="16"/>
    </row>
    <row r="119" spans="1:53" hidden="1" x14ac:dyDescent="0.25">
      <c r="A119" s="16"/>
      <c r="B119" s="31">
        <v>51</v>
      </c>
      <c r="C119" s="32">
        <f t="shared" si="25"/>
        <v>44.631000000000007</v>
      </c>
      <c r="D119" s="32">
        <f t="shared" si="25"/>
        <v>45.441000000000003</v>
      </c>
      <c r="E119" s="32">
        <f t="shared" si="25"/>
        <v>46.251000000000005</v>
      </c>
      <c r="F119" s="32">
        <f t="shared" si="25"/>
        <v>47.061</v>
      </c>
      <c r="G119" s="32">
        <f t="shared" si="25"/>
        <v>47.871000000000002</v>
      </c>
      <c r="H119" s="32">
        <f t="shared" si="25"/>
        <v>48.681000000000004</v>
      </c>
      <c r="I119" s="32">
        <f t="shared" si="25"/>
        <v>49.491</v>
      </c>
      <c r="J119" s="32">
        <f t="shared" si="25"/>
        <v>50.301000000000002</v>
      </c>
      <c r="K119" s="32">
        <f t="shared" si="25"/>
        <v>51.110999999999997</v>
      </c>
      <c r="L119" s="32">
        <f t="shared" si="25"/>
        <v>51.920999999999999</v>
      </c>
      <c r="M119" s="32">
        <f t="shared" si="25"/>
        <v>52.730999999999995</v>
      </c>
      <c r="N119" s="32">
        <f t="shared" si="25"/>
        <v>53.540999999999997</v>
      </c>
      <c r="O119" s="32">
        <f t="shared" si="25"/>
        <v>54.350999999999992</v>
      </c>
      <c r="P119" s="32">
        <f t="shared" si="25"/>
        <v>55.161000000000001</v>
      </c>
      <c r="Q119" s="32">
        <f t="shared" si="25"/>
        <v>55.970999999999997</v>
      </c>
      <c r="R119" s="32">
        <f t="shared" si="25"/>
        <v>56.780999999999999</v>
      </c>
      <c r="S119" s="32">
        <f t="shared" si="24"/>
        <v>57.590999999999994</v>
      </c>
      <c r="T119" s="186">
        <f t="shared" si="24"/>
        <v>58.401000000000003</v>
      </c>
      <c r="U119" s="32">
        <f t="shared" si="24"/>
        <v>59.210999999999991</v>
      </c>
      <c r="V119" s="32">
        <f t="shared" si="24"/>
        <v>60.021000000000001</v>
      </c>
      <c r="W119" s="32">
        <f t="shared" si="24"/>
        <v>60.831000000000003</v>
      </c>
      <c r="X119" s="32">
        <f t="shared" si="24"/>
        <v>61.640999999999998</v>
      </c>
      <c r="Y119" s="32">
        <f t="shared" si="24"/>
        <v>62.451000000000001</v>
      </c>
      <c r="Z119" s="32">
        <f t="shared" si="24"/>
        <v>63.260999999999996</v>
      </c>
      <c r="AA119" s="32">
        <f t="shared" si="21"/>
        <v>64.070999999999998</v>
      </c>
      <c r="AB119" s="32">
        <f t="shared" si="21"/>
        <v>64.881</v>
      </c>
      <c r="AC119" s="32">
        <f t="shared" si="21"/>
        <v>65.691000000000003</v>
      </c>
      <c r="AD119" s="32">
        <f t="shared" si="27"/>
        <v>66.501000000000005</v>
      </c>
      <c r="AE119" s="32">
        <f t="shared" si="27"/>
        <v>67.310999999999993</v>
      </c>
      <c r="AF119" s="32">
        <f t="shared" si="27"/>
        <v>68.120999999999995</v>
      </c>
      <c r="AG119" s="32">
        <f t="shared" si="27"/>
        <v>68.931000000000012</v>
      </c>
      <c r="AH119" s="32">
        <f t="shared" si="27"/>
        <v>69.741</v>
      </c>
      <c r="AI119" s="32">
        <f t="shared" si="27"/>
        <v>70.551000000000002</v>
      </c>
      <c r="AJ119" s="32">
        <f t="shared" si="27"/>
        <v>71.36099999999999</v>
      </c>
      <c r="AK119" s="32">
        <f t="shared" si="27"/>
        <v>72.171000000000006</v>
      </c>
      <c r="AL119" s="32">
        <f t="shared" si="27"/>
        <v>72.981000000000009</v>
      </c>
      <c r="AM119" s="32">
        <f t="shared" si="27"/>
        <v>73.790999999999997</v>
      </c>
      <c r="AN119" s="32">
        <f t="shared" si="27"/>
        <v>74.600999999999999</v>
      </c>
      <c r="AO119" s="32">
        <f t="shared" si="27"/>
        <v>75.411000000000001</v>
      </c>
      <c r="AP119" s="32">
        <f t="shared" si="27"/>
        <v>76.221000000000004</v>
      </c>
      <c r="AQ119" s="32">
        <f t="shared" si="27"/>
        <v>77.031000000000006</v>
      </c>
      <c r="AR119" s="32">
        <f t="shared" si="27"/>
        <v>77.840999999999994</v>
      </c>
      <c r="AS119" s="32">
        <f t="shared" si="27"/>
        <v>78.650999999999996</v>
      </c>
      <c r="AT119" s="32">
        <f t="shared" si="26"/>
        <v>79.460999999999999</v>
      </c>
      <c r="AU119" s="32">
        <f t="shared" si="26"/>
        <v>80.271000000000001</v>
      </c>
      <c r="AV119" s="32">
        <f t="shared" si="26"/>
        <v>81.081000000000003</v>
      </c>
      <c r="AW119" s="32">
        <f t="shared" si="26"/>
        <v>81.890999999999991</v>
      </c>
      <c r="AX119" s="32">
        <f t="shared" si="26"/>
        <v>82.701000000000008</v>
      </c>
      <c r="AY119" s="32">
        <f t="shared" si="26"/>
        <v>83.510999999999996</v>
      </c>
      <c r="AZ119" s="32">
        <f t="shared" si="26"/>
        <v>84.320999999999998</v>
      </c>
      <c r="BA119" s="16"/>
    </row>
    <row r="120" spans="1:53" hidden="1" x14ac:dyDescent="0.25">
      <c r="A120" s="16"/>
      <c r="B120" s="31">
        <v>52</v>
      </c>
      <c r="C120" s="32">
        <f t="shared" si="25"/>
        <v>44.71200000000001</v>
      </c>
      <c r="D120" s="32">
        <f t="shared" si="25"/>
        <v>45.522000000000006</v>
      </c>
      <c r="E120" s="32">
        <f t="shared" si="25"/>
        <v>46.332000000000008</v>
      </c>
      <c r="F120" s="32">
        <f t="shared" si="25"/>
        <v>47.142000000000003</v>
      </c>
      <c r="G120" s="32">
        <f t="shared" si="25"/>
        <v>47.952000000000005</v>
      </c>
      <c r="H120" s="32">
        <f t="shared" si="25"/>
        <v>48.762000000000008</v>
      </c>
      <c r="I120" s="32">
        <f t="shared" si="25"/>
        <v>49.572000000000003</v>
      </c>
      <c r="J120" s="32">
        <f t="shared" si="25"/>
        <v>50.382000000000005</v>
      </c>
      <c r="K120" s="32">
        <f t="shared" si="25"/>
        <v>51.192</v>
      </c>
      <c r="L120" s="32">
        <f t="shared" si="25"/>
        <v>52.002000000000002</v>
      </c>
      <c r="M120" s="32">
        <f t="shared" si="25"/>
        <v>52.812000000000005</v>
      </c>
      <c r="N120" s="32">
        <f t="shared" si="25"/>
        <v>53.622000000000007</v>
      </c>
      <c r="O120" s="32">
        <f t="shared" si="25"/>
        <v>54.432000000000002</v>
      </c>
      <c r="P120" s="32">
        <f t="shared" si="25"/>
        <v>55.242000000000004</v>
      </c>
      <c r="Q120" s="32">
        <f t="shared" si="25"/>
        <v>56.052</v>
      </c>
      <c r="R120" s="32">
        <f t="shared" si="25"/>
        <v>56.862000000000009</v>
      </c>
      <c r="S120" s="32">
        <f t="shared" si="24"/>
        <v>57.671999999999997</v>
      </c>
      <c r="T120" s="186">
        <f t="shared" si="24"/>
        <v>58.482000000000006</v>
      </c>
      <c r="U120" s="32">
        <f t="shared" si="24"/>
        <v>59.292000000000009</v>
      </c>
      <c r="V120" s="32">
        <f t="shared" si="24"/>
        <v>60.102000000000004</v>
      </c>
      <c r="W120" s="32">
        <f t="shared" si="24"/>
        <v>60.912000000000006</v>
      </c>
      <c r="X120" s="32">
        <f t="shared" si="24"/>
        <v>61.722000000000001</v>
      </c>
      <c r="Y120" s="32">
        <f t="shared" si="24"/>
        <v>62.532000000000004</v>
      </c>
      <c r="Z120" s="32">
        <f t="shared" si="24"/>
        <v>63.342000000000013</v>
      </c>
      <c r="AA120" s="32">
        <f t="shared" si="21"/>
        <v>64.152000000000001</v>
      </c>
      <c r="AB120" s="32">
        <f t="shared" si="21"/>
        <v>64.962000000000003</v>
      </c>
      <c r="AC120" s="32">
        <f t="shared" si="21"/>
        <v>65.772000000000006</v>
      </c>
      <c r="AD120" s="32">
        <f t="shared" si="27"/>
        <v>66.582000000000008</v>
      </c>
      <c r="AE120" s="32">
        <f t="shared" si="27"/>
        <v>67.39200000000001</v>
      </c>
      <c r="AF120" s="32">
        <f t="shared" si="27"/>
        <v>68.201999999999998</v>
      </c>
      <c r="AG120" s="32">
        <f t="shared" si="27"/>
        <v>69.012000000000015</v>
      </c>
      <c r="AH120" s="32">
        <f t="shared" si="27"/>
        <v>69.822000000000003</v>
      </c>
      <c r="AI120" s="32">
        <f t="shared" si="27"/>
        <v>70.632000000000005</v>
      </c>
      <c r="AJ120" s="32">
        <f t="shared" si="27"/>
        <v>71.442000000000007</v>
      </c>
      <c r="AK120" s="32">
        <f t="shared" si="27"/>
        <v>72.25200000000001</v>
      </c>
      <c r="AL120" s="32">
        <f t="shared" si="27"/>
        <v>73.062000000000012</v>
      </c>
      <c r="AM120" s="32">
        <f t="shared" si="27"/>
        <v>73.872</v>
      </c>
      <c r="AN120" s="32">
        <f t="shared" si="27"/>
        <v>74.682000000000002</v>
      </c>
      <c r="AO120" s="32">
        <f t="shared" si="27"/>
        <v>75.492000000000004</v>
      </c>
      <c r="AP120" s="32">
        <f t="shared" si="27"/>
        <v>76.302000000000007</v>
      </c>
      <c r="AQ120" s="32">
        <f t="shared" si="27"/>
        <v>77.112000000000009</v>
      </c>
      <c r="AR120" s="32">
        <f t="shared" si="27"/>
        <v>77.921999999999997</v>
      </c>
      <c r="AS120" s="32">
        <f t="shared" si="27"/>
        <v>78.731999999999999</v>
      </c>
      <c r="AT120" s="32">
        <f t="shared" si="26"/>
        <v>79.542000000000016</v>
      </c>
      <c r="AU120" s="32">
        <f t="shared" si="26"/>
        <v>80.352000000000004</v>
      </c>
      <c r="AV120" s="32">
        <f t="shared" si="26"/>
        <v>81.162000000000006</v>
      </c>
      <c r="AW120" s="32">
        <f t="shared" si="26"/>
        <v>81.971999999999994</v>
      </c>
      <c r="AX120" s="32">
        <f t="shared" si="26"/>
        <v>82.782000000000011</v>
      </c>
      <c r="AY120" s="32">
        <f t="shared" si="26"/>
        <v>83.592000000000013</v>
      </c>
      <c r="AZ120" s="32">
        <f t="shared" si="26"/>
        <v>84.402000000000001</v>
      </c>
      <c r="BA120" s="16"/>
    </row>
    <row r="121" spans="1:53" hidden="1" x14ac:dyDescent="0.25">
      <c r="A121" s="16"/>
      <c r="B121" s="31">
        <v>53</v>
      </c>
      <c r="C121" s="32">
        <f t="shared" si="25"/>
        <v>44.792999999999999</v>
      </c>
      <c r="D121" s="32">
        <f t="shared" si="25"/>
        <v>45.603000000000002</v>
      </c>
      <c r="E121" s="32">
        <f t="shared" si="25"/>
        <v>46.413000000000004</v>
      </c>
      <c r="F121" s="32">
        <f t="shared" si="25"/>
        <v>47.222999999999999</v>
      </c>
      <c r="G121" s="32">
        <f t="shared" si="25"/>
        <v>48.033000000000001</v>
      </c>
      <c r="H121" s="32">
        <f t="shared" si="25"/>
        <v>48.842999999999996</v>
      </c>
      <c r="I121" s="32">
        <f t="shared" si="25"/>
        <v>49.653000000000006</v>
      </c>
      <c r="J121" s="32">
        <f t="shared" si="25"/>
        <v>50.463000000000001</v>
      </c>
      <c r="K121" s="32">
        <f t="shared" si="25"/>
        <v>51.273000000000003</v>
      </c>
      <c r="L121" s="32">
        <f t="shared" si="25"/>
        <v>52.082999999999998</v>
      </c>
      <c r="M121" s="32">
        <f t="shared" si="25"/>
        <v>52.893000000000001</v>
      </c>
      <c r="N121" s="32">
        <f t="shared" si="25"/>
        <v>53.703000000000003</v>
      </c>
      <c r="O121" s="32">
        <f t="shared" si="25"/>
        <v>54.512999999999998</v>
      </c>
      <c r="P121" s="32">
        <f t="shared" si="25"/>
        <v>55.323</v>
      </c>
      <c r="Q121" s="32">
        <f t="shared" si="25"/>
        <v>56.132999999999996</v>
      </c>
      <c r="R121" s="32">
        <f t="shared" si="25"/>
        <v>56.942999999999998</v>
      </c>
      <c r="S121" s="32">
        <f t="shared" si="24"/>
        <v>57.753</v>
      </c>
      <c r="T121" s="186">
        <f t="shared" si="24"/>
        <v>58.562999999999995</v>
      </c>
      <c r="U121" s="32">
        <f t="shared" si="24"/>
        <v>59.372999999999998</v>
      </c>
      <c r="V121" s="32">
        <f t="shared" si="24"/>
        <v>60.183000000000007</v>
      </c>
      <c r="W121" s="32">
        <f t="shared" si="24"/>
        <v>60.992999999999995</v>
      </c>
      <c r="X121" s="32">
        <f t="shared" si="24"/>
        <v>61.803000000000004</v>
      </c>
      <c r="Y121" s="32">
        <f t="shared" si="24"/>
        <v>62.612999999999992</v>
      </c>
      <c r="Z121" s="32">
        <f t="shared" si="24"/>
        <v>63.423000000000002</v>
      </c>
      <c r="AA121" s="32">
        <f t="shared" si="21"/>
        <v>64.233000000000004</v>
      </c>
      <c r="AB121" s="32">
        <f t="shared" si="21"/>
        <v>65.042999999999992</v>
      </c>
      <c r="AC121" s="32">
        <f t="shared" si="21"/>
        <v>65.853000000000009</v>
      </c>
      <c r="AD121" s="32">
        <f t="shared" si="27"/>
        <v>66.662999999999997</v>
      </c>
      <c r="AE121" s="32">
        <f t="shared" si="27"/>
        <v>67.472999999999999</v>
      </c>
      <c r="AF121" s="32">
        <f t="shared" si="27"/>
        <v>68.283000000000001</v>
      </c>
      <c r="AG121" s="32">
        <f t="shared" si="27"/>
        <v>69.093000000000004</v>
      </c>
      <c r="AH121" s="32">
        <f t="shared" si="27"/>
        <v>69.903000000000006</v>
      </c>
      <c r="AI121" s="32">
        <f t="shared" si="27"/>
        <v>70.712999999999994</v>
      </c>
      <c r="AJ121" s="32">
        <f t="shared" si="27"/>
        <v>71.522999999999996</v>
      </c>
      <c r="AK121" s="32">
        <f t="shared" si="27"/>
        <v>72.333000000000013</v>
      </c>
      <c r="AL121" s="32">
        <f t="shared" si="27"/>
        <v>73.143000000000001</v>
      </c>
      <c r="AM121" s="32">
        <f t="shared" si="27"/>
        <v>73.953000000000003</v>
      </c>
      <c r="AN121" s="32">
        <f t="shared" si="27"/>
        <v>74.762999999999991</v>
      </c>
      <c r="AO121" s="32">
        <f t="shared" si="27"/>
        <v>75.573000000000008</v>
      </c>
      <c r="AP121" s="32">
        <f t="shared" si="27"/>
        <v>76.38300000000001</v>
      </c>
      <c r="AQ121" s="32">
        <f t="shared" si="27"/>
        <v>77.192999999999998</v>
      </c>
      <c r="AR121" s="32">
        <f t="shared" si="27"/>
        <v>78.003</v>
      </c>
      <c r="AS121" s="32">
        <f t="shared" si="27"/>
        <v>78.813000000000002</v>
      </c>
      <c r="AT121" s="32">
        <f t="shared" si="26"/>
        <v>79.623000000000005</v>
      </c>
      <c r="AU121" s="32">
        <f t="shared" si="26"/>
        <v>80.433000000000007</v>
      </c>
      <c r="AV121" s="32">
        <f t="shared" si="26"/>
        <v>81.242999999999995</v>
      </c>
      <c r="AW121" s="32">
        <f t="shared" si="26"/>
        <v>82.052999999999997</v>
      </c>
      <c r="AX121" s="32">
        <f t="shared" si="26"/>
        <v>82.863</v>
      </c>
      <c r="AY121" s="32">
        <f t="shared" si="26"/>
        <v>83.673000000000002</v>
      </c>
      <c r="AZ121" s="32">
        <f t="shared" si="26"/>
        <v>84.483000000000004</v>
      </c>
      <c r="BA121" s="16"/>
    </row>
    <row r="122" spans="1:53" hidden="1" x14ac:dyDescent="0.25">
      <c r="A122" s="16"/>
      <c r="B122" s="31">
        <v>54</v>
      </c>
      <c r="C122" s="32">
        <f t="shared" si="25"/>
        <v>44.874000000000002</v>
      </c>
      <c r="D122" s="32">
        <f t="shared" si="25"/>
        <v>45.683999999999997</v>
      </c>
      <c r="E122" s="32">
        <f t="shared" si="25"/>
        <v>46.494</v>
      </c>
      <c r="F122" s="32">
        <f t="shared" si="25"/>
        <v>47.304000000000002</v>
      </c>
      <c r="G122" s="32">
        <f t="shared" si="25"/>
        <v>48.114000000000004</v>
      </c>
      <c r="H122" s="32">
        <f t="shared" si="25"/>
        <v>48.923999999999999</v>
      </c>
      <c r="I122" s="32">
        <f t="shared" si="25"/>
        <v>49.734000000000002</v>
      </c>
      <c r="J122" s="32">
        <f t="shared" si="25"/>
        <v>50.543999999999997</v>
      </c>
      <c r="K122" s="32">
        <f t="shared" si="25"/>
        <v>51.354000000000006</v>
      </c>
      <c r="L122" s="32">
        <f t="shared" si="25"/>
        <v>52.164000000000009</v>
      </c>
      <c r="M122" s="32">
        <f t="shared" si="25"/>
        <v>52.974000000000004</v>
      </c>
      <c r="N122" s="32">
        <f t="shared" si="25"/>
        <v>53.784000000000006</v>
      </c>
      <c r="O122" s="32">
        <f t="shared" si="25"/>
        <v>54.594000000000001</v>
      </c>
      <c r="P122" s="32">
        <f t="shared" si="25"/>
        <v>55.404000000000011</v>
      </c>
      <c r="Q122" s="32">
        <f t="shared" si="25"/>
        <v>56.214000000000006</v>
      </c>
      <c r="R122" s="32">
        <f t="shared" si="25"/>
        <v>57.024000000000008</v>
      </c>
      <c r="S122" s="32">
        <f t="shared" si="24"/>
        <v>57.834000000000003</v>
      </c>
      <c r="T122" s="186">
        <f t="shared" si="24"/>
        <v>58.644000000000013</v>
      </c>
      <c r="U122" s="32">
        <f t="shared" si="24"/>
        <v>59.454000000000001</v>
      </c>
      <c r="V122" s="32">
        <f t="shared" si="24"/>
        <v>60.26400000000001</v>
      </c>
      <c r="W122" s="32">
        <f t="shared" si="24"/>
        <v>61.074000000000012</v>
      </c>
      <c r="X122" s="32">
        <f t="shared" si="24"/>
        <v>61.884000000000007</v>
      </c>
      <c r="Y122" s="32">
        <f t="shared" si="24"/>
        <v>62.69400000000001</v>
      </c>
      <c r="Z122" s="32">
        <f t="shared" si="24"/>
        <v>63.504000000000005</v>
      </c>
      <c r="AA122" s="32">
        <f t="shared" si="21"/>
        <v>64.314000000000007</v>
      </c>
      <c r="AB122" s="32">
        <f t="shared" si="21"/>
        <v>65.124000000000009</v>
      </c>
      <c r="AC122" s="32">
        <f t="shared" si="21"/>
        <v>65.934000000000012</v>
      </c>
      <c r="AD122" s="32">
        <f t="shared" si="27"/>
        <v>66.744000000000014</v>
      </c>
      <c r="AE122" s="32">
        <f t="shared" si="27"/>
        <v>67.554000000000002</v>
      </c>
      <c r="AF122" s="32">
        <f t="shared" si="27"/>
        <v>68.364000000000004</v>
      </c>
      <c r="AG122" s="32">
        <f t="shared" si="27"/>
        <v>69.174000000000021</v>
      </c>
      <c r="AH122" s="32">
        <f t="shared" si="27"/>
        <v>69.984000000000009</v>
      </c>
      <c r="AI122" s="32">
        <f t="shared" si="27"/>
        <v>70.794000000000011</v>
      </c>
      <c r="AJ122" s="32">
        <f t="shared" si="27"/>
        <v>71.603999999999999</v>
      </c>
      <c r="AK122" s="32">
        <f t="shared" si="27"/>
        <v>72.414000000000016</v>
      </c>
      <c r="AL122" s="32">
        <f t="shared" si="27"/>
        <v>73.224000000000018</v>
      </c>
      <c r="AM122" s="32">
        <f t="shared" si="27"/>
        <v>74.034000000000006</v>
      </c>
      <c r="AN122" s="32">
        <f t="shared" si="27"/>
        <v>74.844000000000008</v>
      </c>
      <c r="AO122" s="32">
        <f t="shared" si="27"/>
        <v>75.654000000000011</v>
      </c>
      <c r="AP122" s="32">
        <f t="shared" si="27"/>
        <v>76.464000000000013</v>
      </c>
      <c r="AQ122" s="32">
        <f t="shared" si="27"/>
        <v>77.274000000000015</v>
      </c>
      <c r="AR122" s="32">
        <f t="shared" si="27"/>
        <v>78.084000000000003</v>
      </c>
      <c r="AS122" s="32">
        <f t="shared" si="27"/>
        <v>78.894000000000005</v>
      </c>
      <c r="AT122" s="32">
        <f t="shared" si="26"/>
        <v>79.704000000000008</v>
      </c>
      <c r="AU122" s="32">
        <f t="shared" si="26"/>
        <v>80.51400000000001</v>
      </c>
      <c r="AV122" s="32">
        <f t="shared" si="26"/>
        <v>81.324000000000012</v>
      </c>
      <c r="AW122" s="32">
        <f t="shared" si="26"/>
        <v>82.134</v>
      </c>
      <c r="AX122" s="32">
        <f t="shared" si="26"/>
        <v>82.944000000000017</v>
      </c>
      <c r="AY122" s="32">
        <f t="shared" si="26"/>
        <v>83.754000000000005</v>
      </c>
      <c r="AZ122" s="32">
        <f t="shared" si="26"/>
        <v>84.564000000000007</v>
      </c>
      <c r="BA122" s="16"/>
    </row>
    <row r="123" spans="1:53" hidden="1" x14ac:dyDescent="0.25">
      <c r="A123" s="16"/>
      <c r="B123" s="31">
        <v>55</v>
      </c>
      <c r="C123" s="32">
        <f t="shared" si="25"/>
        <v>44.955000000000005</v>
      </c>
      <c r="D123" s="32">
        <f t="shared" si="25"/>
        <v>45.765000000000001</v>
      </c>
      <c r="E123" s="32">
        <f t="shared" si="25"/>
        <v>46.575000000000003</v>
      </c>
      <c r="F123" s="32">
        <f t="shared" si="25"/>
        <v>47.384999999999998</v>
      </c>
      <c r="G123" s="32">
        <f t="shared" si="25"/>
        <v>48.195000000000007</v>
      </c>
      <c r="H123" s="32">
        <f t="shared" si="25"/>
        <v>49.005000000000003</v>
      </c>
      <c r="I123" s="32">
        <f t="shared" si="25"/>
        <v>49.815000000000005</v>
      </c>
      <c r="J123" s="32">
        <f t="shared" si="25"/>
        <v>50.625</v>
      </c>
      <c r="K123" s="32">
        <f t="shared" si="25"/>
        <v>51.435000000000002</v>
      </c>
      <c r="L123" s="32">
        <f t="shared" si="25"/>
        <v>52.245000000000005</v>
      </c>
      <c r="M123" s="32">
        <f t="shared" si="25"/>
        <v>53.055000000000007</v>
      </c>
      <c r="N123" s="32">
        <f t="shared" si="25"/>
        <v>53.865000000000002</v>
      </c>
      <c r="O123" s="32">
        <f t="shared" si="25"/>
        <v>54.675000000000004</v>
      </c>
      <c r="P123" s="32">
        <f t="shared" si="25"/>
        <v>55.484999999999999</v>
      </c>
      <c r="Q123" s="32">
        <f t="shared" si="25"/>
        <v>56.295000000000002</v>
      </c>
      <c r="R123" s="32">
        <f t="shared" si="25"/>
        <v>57.105000000000004</v>
      </c>
      <c r="S123" s="32">
        <f t="shared" si="24"/>
        <v>57.915000000000006</v>
      </c>
      <c r="T123" s="186">
        <f t="shared" si="24"/>
        <v>58.725000000000001</v>
      </c>
      <c r="U123" s="32">
        <f t="shared" si="24"/>
        <v>59.535000000000004</v>
      </c>
      <c r="V123" s="32">
        <f t="shared" si="24"/>
        <v>60.344999999999999</v>
      </c>
      <c r="W123" s="32">
        <f t="shared" si="24"/>
        <v>61.155000000000001</v>
      </c>
      <c r="X123" s="32">
        <f t="shared" si="24"/>
        <v>61.965000000000011</v>
      </c>
      <c r="Y123" s="32">
        <f t="shared" si="24"/>
        <v>62.774999999999999</v>
      </c>
      <c r="Z123" s="32">
        <f t="shared" si="24"/>
        <v>63.585000000000008</v>
      </c>
      <c r="AA123" s="32">
        <f t="shared" si="21"/>
        <v>64.394999999999996</v>
      </c>
      <c r="AB123" s="32">
        <f t="shared" si="21"/>
        <v>65.204999999999998</v>
      </c>
      <c r="AC123" s="32">
        <f t="shared" si="21"/>
        <v>66.015000000000015</v>
      </c>
      <c r="AD123" s="32">
        <f t="shared" si="27"/>
        <v>66.825000000000003</v>
      </c>
      <c r="AE123" s="32">
        <f t="shared" si="27"/>
        <v>67.635000000000005</v>
      </c>
      <c r="AF123" s="32">
        <f t="shared" si="27"/>
        <v>68.444999999999993</v>
      </c>
      <c r="AG123" s="32">
        <f t="shared" si="27"/>
        <v>69.25500000000001</v>
      </c>
      <c r="AH123" s="32">
        <f t="shared" si="27"/>
        <v>70.065000000000012</v>
      </c>
      <c r="AI123" s="32">
        <f t="shared" si="27"/>
        <v>70.875</v>
      </c>
      <c r="AJ123" s="32">
        <f t="shared" si="27"/>
        <v>71.685000000000002</v>
      </c>
      <c r="AK123" s="32">
        <f t="shared" si="27"/>
        <v>72.495000000000005</v>
      </c>
      <c r="AL123" s="32">
        <f t="shared" si="27"/>
        <v>73.305000000000007</v>
      </c>
      <c r="AM123" s="32">
        <f t="shared" si="27"/>
        <v>74.115000000000009</v>
      </c>
      <c r="AN123" s="32">
        <f t="shared" si="27"/>
        <v>74.924999999999997</v>
      </c>
      <c r="AO123" s="32">
        <f t="shared" si="27"/>
        <v>75.735000000000014</v>
      </c>
      <c r="AP123" s="32">
        <f t="shared" si="27"/>
        <v>76.545000000000002</v>
      </c>
      <c r="AQ123" s="32">
        <f t="shared" si="27"/>
        <v>77.355000000000004</v>
      </c>
      <c r="AR123" s="32">
        <f t="shared" si="27"/>
        <v>78.165000000000006</v>
      </c>
      <c r="AS123" s="32">
        <f t="shared" si="27"/>
        <v>78.975000000000009</v>
      </c>
      <c r="AT123" s="32">
        <f t="shared" si="26"/>
        <v>79.785000000000011</v>
      </c>
      <c r="AU123" s="32">
        <f t="shared" si="26"/>
        <v>80.594999999999999</v>
      </c>
      <c r="AV123" s="32">
        <f t="shared" si="26"/>
        <v>81.405000000000001</v>
      </c>
      <c r="AW123" s="32">
        <f t="shared" si="26"/>
        <v>82.215000000000003</v>
      </c>
      <c r="AX123" s="32">
        <f t="shared" si="26"/>
        <v>83.025000000000006</v>
      </c>
      <c r="AY123" s="32">
        <f t="shared" si="26"/>
        <v>83.835000000000008</v>
      </c>
      <c r="AZ123" s="32">
        <f t="shared" si="26"/>
        <v>84.644999999999996</v>
      </c>
      <c r="BA123" s="16"/>
    </row>
    <row r="124" spans="1:53" hidden="1" x14ac:dyDescent="0.25">
      <c r="A124" s="16"/>
      <c r="B124" s="31">
        <v>56</v>
      </c>
      <c r="C124" s="32">
        <f t="shared" si="25"/>
        <v>45.036000000000001</v>
      </c>
      <c r="D124" s="32">
        <f t="shared" si="25"/>
        <v>45.846000000000004</v>
      </c>
      <c r="E124" s="32">
        <f t="shared" si="25"/>
        <v>46.656000000000006</v>
      </c>
      <c r="F124" s="32">
        <f t="shared" si="25"/>
        <v>47.466000000000001</v>
      </c>
      <c r="G124" s="32">
        <f t="shared" si="25"/>
        <v>48.276000000000003</v>
      </c>
      <c r="H124" s="32">
        <f t="shared" si="25"/>
        <v>49.085999999999999</v>
      </c>
      <c r="I124" s="32">
        <f t="shared" si="25"/>
        <v>49.896000000000008</v>
      </c>
      <c r="J124" s="32">
        <f t="shared" si="25"/>
        <v>50.706000000000003</v>
      </c>
      <c r="K124" s="32">
        <f t="shared" si="25"/>
        <v>51.516000000000005</v>
      </c>
      <c r="L124" s="32">
        <f t="shared" si="25"/>
        <v>52.325999999999993</v>
      </c>
      <c r="M124" s="32">
        <f t="shared" si="25"/>
        <v>53.136000000000003</v>
      </c>
      <c r="N124" s="32">
        <f t="shared" si="25"/>
        <v>53.945999999999998</v>
      </c>
      <c r="O124" s="32">
        <f t="shared" si="25"/>
        <v>54.756</v>
      </c>
      <c r="P124" s="32">
        <f t="shared" si="25"/>
        <v>55.565999999999995</v>
      </c>
      <c r="Q124" s="32">
        <f t="shared" si="25"/>
        <v>56.375999999999998</v>
      </c>
      <c r="R124" s="32">
        <f t="shared" si="25"/>
        <v>57.186</v>
      </c>
      <c r="S124" s="32">
        <f t="shared" si="24"/>
        <v>57.996000000000002</v>
      </c>
      <c r="T124" s="186">
        <f t="shared" si="24"/>
        <v>58.806000000000004</v>
      </c>
      <c r="U124" s="32">
        <f t="shared" si="24"/>
        <v>59.616</v>
      </c>
      <c r="V124" s="32">
        <f t="shared" si="24"/>
        <v>60.426000000000002</v>
      </c>
      <c r="W124" s="32">
        <f t="shared" si="24"/>
        <v>61.235999999999997</v>
      </c>
      <c r="X124" s="32">
        <f t="shared" si="24"/>
        <v>62.045999999999999</v>
      </c>
      <c r="Y124" s="32">
        <f t="shared" si="24"/>
        <v>62.856000000000002</v>
      </c>
      <c r="Z124" s="32">
        <f t="shared" si="24"/>
        <v>63.665999999999997</v>
      </c>
      <c r="AA124" s="32">
        <f t="shared" si="21"/>
        <v>64.475999999999999</v>
      </c>
      <c r="AB124" s="32">
        <f t="shared" si="21"/>
        <v>65.286000000000001</v>
      </c>
      <c r="AC124" s="32">
        <f t="shared" si="21"/>
        <v>66.096000000000004</v>
      </c>
      <c r="AD124" s="32">
        <f t="shared" si="27"/>
        <v>66.906000000000006</v>
      </c>
      <c r="AE124" s="32">
        <f t="shared" si="27"/>
        <v>67.715999999999994</v>
      </c>
      <c r="AF124" s="32">
        <f t="shared" si="27"/>
        <v>68.525999999999996</v>
      </c>
      <c r="AG124" s="32">
        <f t="shared" si="27"/>
        <v>69.335999999999999</v>
      </c>
      <c r="AH124" s="32">
        <f t="shared" si="27"/>
        <v>70.146000000000001</v>
      </c>
      <c r="AI124" s="32">
        <f t="shared" si="27"/>
        <v>70.956000000000003</v>
      </c>
      <c r="AJ124" s="32">
        <f t="shared" si="27"/>
        <v>71.765999999999991</v>
      </c>
      <c r="AK124" s="32">
        <f t="shared" si="27"/>
        <v>72.576000000000008</v>
      </c>
      <c r="AL124" s="32">
        <f t="shared" si="27"/>
        <v>73.385999999999996</v>
      </c>
      <c r="AM124" s="32">
        <f t="shared" si="27"/>
        <v>74.195999999999998</v>
      </c>
      <c r="AN124" s="32">
        <f t="shared" si="27"/>
        <v>75.006</v>
      </c>
      <c r="AO124" s="32">
        <f t="shared" si="27"/>
        <v>75.816000000000003</v>
      </c>
      <c r="AP124" s="32">
        <f t="shared" si="27"/>
        <v>76.626000000000005</v>
      </c>
      <c r="AQ124" s="32">
        <f t="shared" si="27"/>
        <v>77.435999999999993</v>
      </c>
      <c r="AR124" s="32">
        <f t="shared" si="27"/>
        <v>78.245999999999995</v>
      </c>
      <c r="AS124" s="32">
        <f t="shared" si="27"/>
        <v>79.056000000000012</v>
      </c>
      <c r="AT124" s="32">
        <f t="shared" si="26"/>
        <v>79.866</v>
      </c>
      <c r="AU124" s="32">
        <f t="shared" si="26"/>
        <v>80.676000000000002</v>
      </c>
      <c r="AV124" s="32">
        <f t="shared" si="26"/>
        <v>81.48599999999999</v>
      </c>
      <c r="AW124" s="32">
        <f t="shared" si="26"/>
        <v>82.296000000000006</v>
      </c>
      <c r="AX124" s="32">
        <f t="shared" si="26"/>
        <v>83.106000000000009</v>
      </c>
      <c r="AY124" s="32">
        <f t="shared" si="26"/>
        <v>83.915999999999997</v>
      </c>
      <c r="AZ124" s="32">
        <f t="shared" si="26"/>
        <v>84.725999999999999</v>
      </c>
      <c r="BA124" s="16"/>
    </row>
    <row r="125" spans="1:53" hidden="1" x14ac:dyDescent="0.25">
      <c r="A125" s="16"/>
      <c r="B125" s="31">
        <v>57</v>
      </c>
      <c r="C125" s="32">
        <f t="shared" si="25"/>
        <v>45.117000000000004</v>
      </c>
      <c r="D125" s="32">
        <f t="shared" si="25"/>
        <v>45.927</v>
      </c>
      <c r="E125" s="32">
        <f t="shared" si="25"/>
        <v>46.737000000000009</v>
      </c>
      <c r="F125" s="32">
        <f t="shared" si="25"/>
        <v>47.547000000000004</v>
      </c>
      <c r="G125" s="32">
        <f t="shared" si="25"/>
        <v>48.357000000000006</v>
      </c>
      <c r="H125" s="32">
        <f t="shared" si="25"/>
        <v>49.167000000000002</v>
      </c>
      <c r="I125" s="32">
        <f t="shared" si="25"/>
        <v>49.977000000000004</v>
      </c>
      <c r="J125" s="32">
        <f t="shared" si="25"/>
        <v>50.787000000000006</v>
      </c>
      <c r="K125" s="32">
        <f t="shared" si="25"/>
        <v>51.597000000000008</v>
      </c>
      <c r="L125" s="32">
        <f t="shared" si="25"/>
        <v>52.407000000000004</v>
      </c>
      <c r="M125" s="32">
        <f t="shared" si="25"/>
        <v>53.217000000000006</v>
      </c>
      <c r="N125" s="32">
        <f t="shared" si="25"/>
        <v>54.027000000000001</v>
      </c>
      <c r="O125" s="32">
        <f t="shared" si="25"/>
        <v>54.83700000000001</v>
      </c>
      <c r="P125" s="32">
        <f t="shared" si="25"/>
        <v>55.647000000000006</v>
      </c>
      <c r="Q125" s="32">
        <f t="shared" si="25"/>
        <v>56.457000000000008</v>
      </c>
      <c r="R125" s="32">
        <f t="shared" ref="R125:AG140" si="28">(R$16-100+$B125/10)*0.9*0.9</f>
        <v>57.267000000000003</v>
      </c>
      <c r="S125" s="32">
        <f t="shared" si="28"/>
        <v>58.077000000000005</v>
      </c>
      <c r="T125" s="186">
        <f t="shared" si="28"/>
        <v>58.887000000000008</v>
      </c>
      <c r="U125" s="32">
        <f t="shared" si="28"/>
        <v>59.697000000000003</v>
      </c>
      <c r="V125" s="32">
        <f t="shared" si="28"/>
        <v>60.507000000000005</v>
      </c>
      <c r="W125" s="32">
        <f t="shared" si="28"/>
        <v>61.317000000000007</v>
      </c>
      <c r="X125" s="32">
        <f t="shared" si="28"/>
        <v>62.127000000000002</v>
      </c>
      <c r="Y125" s="32">
        <f t="shared" si="28"/>
        <v>62.937000000000005</v>
      </c>
      <c r="Z125" s="32">
        <f t="shared" si="28"/>
        <v>63.747</v>
      </c>
      <c r="AA125" s="32">
        <f t="shared" si="28"/>
        <v>64.557000000000002</v>
      </c>
      <c r="AB125" s="32">
        <f t="shared" si="28"/>
        <v>65.367000000000004</v>
      </c>
      <c r="AC125" s="32">
        <f t="shared" si="28"/>
        <v>66.177000000000007</v>
      </c>
      <c r="AD125" s="32">
        <f t="shared" si="28"/>
        <v>66.987000000000009</v>
      </c>
      <c r="AE125" s="32">
        <f t="shared" si="28"/>
        <v>67.796999999999997</v>
      </c>
      <c r="AF125" s="32">
        <f t="shared" si="28"/>
        <v>68.606999999999999</v>
      </c>
      <c r="AG125" s="32">
        <f t="shared" si="28"/>
        <v>69.417000000000016</v>
      </c>
      <c r="AH125" s="32">
        <f t="shared" si="27"/>
        <v>70.227000000000004</v>
      </c>
      <c r="AI125" s="32">
        <f t="shared" si="27"/>
        <v>71.037000000000006</v>
      </c>
      <c r="AJ125" s="32">
        <f t="shared" si="27"/>
        <v>71.846999999999994</v>
      </c>
      <c r="AK125" s="32">
        <f t="shared" si="27"/>
        <v>72.657000000000011</v>
      </c>
      <c r="AL125" s="32">
        <f t="shared" si="27"/>
        <v>73.467000000000013</v>
      </c>
      <c r="AM125" s="32">
        <f t="shared" si="27"/>
        <v>74.277000000000001</v>
      </c>
      <c r="AN125" s="32">
        <f t="shared" si="27"/>
        <v>75.087000000000003</v>
      </c>
      <c r="AO125" s="32">
        <f t="shared" si="27"/>
        <v>75.897000000000006</v>
      </c>
      <c r="AP125" s="32">
        <f t="shared" si="27"/>
        <v>76.707000000000008</v>
      </c>
      <c r="AQ125" s="32">
        <f t="shared" si="27"/>
        <v>77.51700000000001</v>
      </c>
      <c r="AR125" s="32">
        <f t="shared" si="27"/>
        <v>78.326999999999998</v>
      </c>
      <c r="AS125" s="32">
        <f t="shared" si="27"/>
        <v>79.137000000000015</v>
      </c>
      <c r="AT125" s="32">
        <f t="shared" si="26"/>
        <v>79.947000000000003</v>
      </c>
      <c r="AU125" s="32">
        <f t="shared" si="26"/>
        <v>80.757000000000005</v>
      </c>
      <c r="AV125" s="32">
        <f t="shared" si="26"/>
        <v>81.567000000000007</v>
      </c>
      <c r="AW125" s="32">
        <f t="shared" si="26"/>
        <v>82.37700000000001</v>
      </c>
      <c r="AX125" s="32">
        <f t="shared" si="26"/>
        <v>83.187000000000012</v>
      </c>
      <c r="AY125" s="32">
        <f t="shared" si="26"/>
        <v>83.997</v>
      </c>
      <c r="AZ125" s="32">
        <f t="shared" si="26"/>
        <v>84.807000000000002</v>
      </c>
      <c r="BA125" s="16"/>
    </row>
    <row r="126" spans="1:53" hidden="1" x14ac:dyDescent="0.25">
      <c r="A126" s="16"/>
      <c r="B126" s="31">
        <v>58</v>
      </c>
      <c r="C126" s="32">
        <f t="shared" ref="C126:R141" si="29">(C$16-100+$B126/10)*0.9*0.9</f>
        <v>45.198</v>
      </c>
      <c r="D126" s="32">
        <f t="shared" si="29"/>
        <v>46.007999999999996</v>
      </c>
      <c r="E126" s="32">
        <f t="shared" si="29"/>
        <v>46.817999999999998</v>
      </c>
      <c r="F126" s="32">
        <f t="shared" si="29"/>
        <v>47.628</v>
      </c>
      <c r="G126" s="32">
        <f t="shared" si="29"/>
        <v>48.438000000000002</v>
      </c>
      <c r="H126" s="32">
        <f t="shared" si="29"/>
        <v>49.247999999999998</v>
      </c>
      <c r="I126" s="32">
        <f t="shared" si="29"/>
        <v>50.058</v>
      </c>
      <c r="J126" s="32">
        <f t="shared" si="29"/>
        <v>50.867999999999995</v>
      </c>
      <c r="K126" s="32">
        <f t="shared" si="29"/>
        <v>51.678000000000004</v>
      </c>
      <c r="L126" s="32">
        <f t="shared" si="29"/>
        <v>52.488</v>
      </c>
      <c r="M126" s="32">
        <f t="shared" si="29"/>
        <v>53.298000000000002</v>
      </c>
      <c r="N126" s="32">
        <f t="shared" si="29"/>
        <v>54.107999999999997</v>
      </c>
      <c r="O126" s="32">
        <f t="shared" si="29"/>
        <v>54.917999999999999</v>
      </c>
      <c r="P126" s="32">
        <f t="shared" si="29"/>
        <v>55.728000000000002</v>
      </c>
      <c r="Q126" s="32">
        <f t="shared" si="29"/>
        <v>56.538000000000004</v>
      </c>
      <c r="R126" s="32">
        <f t="shared" si="29"/>
        <v>57.347999999999999</v>
      </c>
      <c r="S126" s="32">
        <f t="shared" si="28"/>
        <v>58.158000000000008</v>
      </c>
      <c r="T126" s="186">
        <f t="shared" si="28"/>
        <v>58.967999999999996</v>
      </c>
      <c r="U126" s="32">
        <f t="shared" si="28"/>
        <v>59.778000000000006</v>
      </c>
      <c r="V126" s="32">
        <f t="shared" si="28"/>
        <v>60.587999999999994</v>
      </c>
      <c r="W126" s="32">
        <f t="shared" si="28"/>
        <v>61.398000000000003</v>
      </c>
      <c r="X126" s="32">
        <f t="shared" si="28"/>
        <v>62.208000000000006</v>
      </c>
      <c r="Y126" s="32">
        <f t="shared" si="28"/>
        <v>63.018000000000001</v>
      </c>
      <c r="Z126" s="32">
        <f t="shared" si="28"/>
        <v>63.828000000000003</v>
      </c>
      <c r="AA126" s="32">
        <f t="shared" si="28"/>
        <v>64.637999999999991</v>
      </c>
      <c r="AB126" s="32">
        <f t="shared" si="28"/>
        <v>65.448000000000008</v>
      </c>
      <c r="AC126" s="32">
        <f t="shared" si="28"/>
        <v>66.25800000000001</v>
      </c>
      <c r="AD126" s="32">
        <f t="shared" si="28"/>
        <v>67.067999999999998</v>
      </c>
      <c r="AE126" s="32">
        <f t="shared" si="28"/>
        <v>67.878</v>
      </c>
      <c r="AF126" s="32">
        <f t="shared" si="28"/>
        <v>68.688000000000002</v>
      </c>
      <c r="AG126" s="32">
        <f t="shared" si="28"/>
        <v>69.498000000000005</v>
      </c>
      <c r="AH126" s="32">
        <f t="shared" si="27"/>
        <v>70.308000000000007</v>
      </c>
      <c r="AI126" s="32">
        <f t="shared" si="27"/>
        <v>71.117999999999995</v>
      </c>
      <c r="AJ126" s="32">
        <f t="shared" si="27"/>
        <v>71.927999999999997</v>
      </c>
      <c r="AK126" s="32">
        <f t="shared" si="27"/>
        <v>72.738</v>
      </c>
      <c r="AL126" s="32">
        <f t="shared" si="27"/>
        <v>73.548000000000002</v>
      </c>
      <c r="AM126" s="32">
        <f t="shared" si="27"/>
        <v>74.358000000000004</v>
      </c>
      <c r="AN126" s="32">
        <f t="shared" si="27"/>
        <v>75.167999999999992</v>
      </c>
      <c r="AO126" s="32">
        <f t="shared" si="27"/>
        <v>75.978000000000009</v>
      </c>
      <c r="AP126" s="32">
        <f t="shared" si="27"/>
        <v>76.787999999999997</v>
      </c>
      <c r="AQ126" s="32">
        <f t="shared" si="27"/>
        <v>77.597999999999999</v>
      </c>
      <c r="AR126" s="32">
        <f t="shared" si="27"/>
        <v>78.408000000000001</v>
      </c>
      <c r="AS126" s="32">
        <f t="shared" si="27"/>
        <v>79.218000000000004</v>
      </c>
      <c r="AT126" s="32">
        <f t="shared" si="26"/>
        <v>80.028000000000006</v>
      </c>
      <c r="AU126" s="32">
        <f t="shared" si="26"/>
        <v>80.837999999999994</v>
      </c>
      <c r="AV126" s="32">
        <f t="shared" si="26"/>
        <v>81.647999999999996</v>
      </c>
      <c r="AW126" s="32">
        <f t="shared" si="26"/>
        <v>82.458000000000013</v>
      </c>
      <c r="AX126" s="32">
        <f t="shared" si="26"/>
        <v>83.268000000000001</v>
      </c>
      <c r="AY126" s="32">
        <f t="shared" si="26"/>
        <v>84.078000000000003</v>
      </c>
      <c r="AZ126" s="32">
        <f t="shared" si="26"/>
        <v>84.887999999999991</v>
      </c>
      <c r="BA126" s="16"/>
    </row>
    <row r="127" spans="1:53" hidden="1" x14ac:dyDescent="0.25">
      <c r="A127" s="16"/>
      <c r="B127" s="31">
        <v>59</v>
      </c>
      <c r="C127" s="32">
        <f t="shared" si="29"/>
        <v>45.279000000000003</v>
      </c>
      <c r="D127" s="32">
        <f t="shared" si="29"/>
        <v>46.088999999999999</v>
      </c>
      <c r="E127" s="32">
        <f t="shared" si="29"/>
        <v>46.899000000000001</v>
      </c>
      <c r="F127" s="32">
        <f t="shared" si="29"/>
        <v>47.708999999999996</v>
      </c>
      <c r="G127" s="32">
        <f t="shared" si="29"/>
        <v>48.518999999999998</v>
      </c>
      <c r="H127" s="32">
        <f t="shared" si="29"/>
        <v>49.329000000000001</v>
      </c>
      <c r="I127" s="32">
        <f t="shared" si="29"/>
        <v>50.139000000000003</v>
      </c>
      <c r="J127" s="32">
        <f t="shared" si="29"/>
        <v>50.948999999999998</v>
      </c>
      <c r="K127" s="32">
        <f t="shared" si="29"/>
        <v>51.759</v>
      </c>
      <c r="L127" s="32">
        <f t="shared" si="29"/>
        <v>52.569000000000003</v>
      </c>
      <c r="M127" s="32">
        <f t="shared" si="29"/>
        <v>53.379000000000012</v>
      </c>
      <c r="N127" s="32">
        <f t="shared" si="29"/>
        <v>54.189000000000007</v>
      </c>
      <c r="O127" s="32">
        <f t="shared" si="29"/>
        <v>54.999000000000009</v>
      </c>
      <c r="P127" s="32">
        <f t="shared" si="29"/>
        <v>55.809000000000005</v>
      </c>
      <c r="Q127" s="32">
        <f t="shared" si="29"/>
        <v>56.619000000000007</v>
      </c>
      <c r="R127" s="32">
        <f t="shared" si="29"/>
        <v>57.429000000000009</v>
      </c>
      <c r="S127" s="32">
        <f t="shared" si="28"/>
        <v>58.239000000000011</v>
      </c>
      <c r="T127" s="186">
        <f t="shared" si="28"/>
        <v>59.049000000000014</v>
      </c>
      <c r="U127" s="32">
        <f t="shared" si="28"/>
        <v>59.859000000000009</v>
      </c>
      <c r="V127" s="32">
        <f t="shared" si="28"/>
        <v>60.669000000000011</v>
      </c>
      <c r="W127" s="32">
        <f t="shared" si="28"/>
        <v>61.479000000000006</v>
      </c>
      <c r="X127" s="32">
        <f t="shared" si="28"/>
        <v>62.289000000000009</v>
      </c>
      <c r="Y127" s="32">
        <f t="shared" si="28"/>
        <v>63.099000000000011</v>
      </c>
      <c r="Z127" s="32">
        <f t="shared" si="28"/>
        <v>63.909000000000006</v>
      </c>
      <c r="AA127" s="32">
        <f t="shared" si="28"/>
        <v>64.719000000000008</v>
      </c>
      <c r="AB127" s="32">
        <f t="shared" si="28"/>
        <v>65.529000000000011</v>
      </c>
      <c r="AC127" s="32">
        <f t="shared" si="28"/>
        <v>66.339000000000013</v>
      </c>
      <c r="AD127" s="32">
        <f t="shared" si="28"/>
        <v>67.149000000000015</v>
      </c>
      <c r="AE127" s="32">
        <f t="shared" si="28"/>
        <v>67.959000000000003</v>
      </c>
      <c r="AF127" s="32">
        <f t="shared" si="28"/>
        <v>68.769000000000005</v>
      </c>
      <c r="AG127" s="32">
        <f t="shared" si="28"/>
        <v>69.579000000000008</v>
      </c>
      <c r="AH127" s="32">
        <f t="shared" si="27"/>
        <v>70.38900000000001</v>
      </c>
      <c r="AI127" s="32">
        <f t="shared" si="27"/>
        <v>71.199000000000012</v>
      </c>
      <c r="AJ127" s="32">
        <f t="shared" si="27"/>
        <v>72.009</v>
      </c>
      <c r="AK127" s="32">
        <f t="shared" si="27"/>
        <v>72.819000000000017</v>
      </c>
      <c r="AL127" s="32">
        <f t="shared" si="27"/>
        <v>73.629000000000005</v>
      </c>
      <c r="AM127" s="32">
        <f t="shared" si="27"/>
        <v>74.439000000000007</v>
      </c>
      <c r="AN127" s="32">
        <f t="shared" si="27"/>
        <v>75.249000000000009</v>
      </c>
      <c r="AO127" s="32">
        <f t="shared" si="27"/>
        <v>76.059000000000012</v>
      </c>
      <c r="AP127" s="32">
        <f t="shared" si="27"/>
        <v>76.869000000000014</v>
      </c>
      <c r="AQ127" s="32">
        <f t="shared" si="27"/>
        <v>77.679000000000002</v>
      </c>
      <c r="AR127" s="32">
        <f t="shared" si="27"/>
        <v>78.489000000000004</v>
      </c>
      <c r="AS127" s="32">
        <f t="shared" si="27"/>
        <v>79.299000000000021</v>
      </c>
      <c r="AT127" s="32">
        <f t="shared" si="26"/>
        <v>80.109000000000009</v>
      </c>
      <c r="AU127" s="32">
        <f t="shared" si="26"/>
        <v>80.919000000000011</v>
      </c>
      <c r="AV127" s="32">
        <f t="shared" si="26"/>
        <v>81.728999999999999</v>
      </c>
      <c r="AW127" s="32">
        <f t="shared" si="26"/>
        <v>82.539000000000016</v>
      </c>
      <c r="AX127" s="32">
        <f t="shared" si="26"/>
        <v>83.349000000000018</v>
      </c>
      <c r="AY127" s="32">
        <f t="shared" si="26"/>
        <v>84.159000000000006</v>
      </c>
      <c r="AZ127" s="32">
        <f t="shared" si="26"/>
        <v>84.969000000000008</v>
      </c>
      <c r="BA127" s="16"/>
    </row>
    <row r="128" spans="1:53" hidden="1" x14ac:dyDescent="0.25">
      <c r="A128" s="16"/>
      <c r="B128" s="31">
        <v>60</v>
      </c>
      <c r="C128" s="32">
        <f t="shared" si="29"/>
        <v>45.36</v>
      </c>
      <c r="D128" s="32">
        <f t="shared" si="29"/>
        <v>46.17</v>
      </c>
      <c r="E128" s="32">
        <f t="shared" si="29"/>
        <v>46.980000000000004</v>
      </c>
      <c r="F128" s="32">
        <f t="shared" si="29"/>
        <v>47.79</v>
      </c>
      <c r="G128" s="32">
        <f t="shared" si="29"/>
        <v>48.6</v>
      </c>
      <c r="H128" s="32">
        <f t="shared" si="29"/>
        <v>49.41</v>
      </c>
      <c r="I128" s="32">
        <f t="shared" si="29"/>
        <v>50.220000000000006</v>
      </c>
      <c r="J128" s="32">
        <f t="shared" si="29"/>
        <v>51.03</v>
      </c>
      <c r="K128" s="32">
        <f t="shared" si="29"/>
        <v>51.84</v>
      </c>
      <c r="L128" s="32">
        <f t="shared" si="29"/>
        <v>52.65</v>
      </c>
      <c r="M128" s="32">
        <f t="shared" si="29"/>
        <v>53.46</v>
      </c>
      <c r="N128" s="32">
        <f t="shared" si="29"/>
        <v>54.27</v>
      </c>
      <c r="O128" s="32">
        <f t="shared" si="29"/>
        <v>55.080000000000005</v>
      </c>
      <c r="P128" s="32">
        <f t="shared" si="29"/>
        <v>55.89</v>
      </c>
      <c r="Q128" s="32">
        <f t="shared" si="29"/>
        <v>56.7</v>
      </c>
      <c r="R128" s="32">
        <f t="shared" si="29"/>
        <v>57.51</v>
      </c>
      <c r="S128" s="32">
        <f t="shared" si="28"/>
        <v>58.32</v>
      </c>
      <c r="T128" s="186">
        <f t="shared" si="28"/>
        <v>59.13</v>
      </c>
      <c r="U128" s="32">
        <f t="shared" si="28"/>
        <v>59.940000000000012</v>
      </c>
      <c r="V128" s="32">
        <f t="shared" si="28"/>
        <v>60.75</v>
      </c>
      <c r="W128" s="32">
        <f t="shared" si="28"/>
        <v>61.560000000000009</v>
      </c>
      <c r="X128" s="32">
        <f t="shared" si="28"/>
        <v>62.37</v>
      </c>
      <c r="Y128" s="32">
        <f t="shared" si="28"/>
        <v>63.180000000000007</v>
      </c>
      <c r="Z128" s="32">
        <f t="shared" si="28"/>
        <v>63.990000000000009</v>
      </c>
      <c r="AA128" s="32">
        <f t="shared" si="28"/>
        <v>64.8</v>
      </c>
      <c r="AB128" s="32">
        <f t="shared" si="28"/>
        <v>65.610000000000014</v>
      </c>
      <c r="AC128" s="32">
        <f t="shared" si="28"/>
        <v>66.42</v>
      </c>
      <c r="AD128" s="32">
        <f t="shared" si="28"/>
        <v>67.23</v>
      </c>
      <c r="AE128" s="32">
        <f t="shared" si="28"/>
        <v>68.040000000000006</v>
      </c>
      <c r="AF128" s="32">
        <f t="shared" si="28"/>
        <v>68.850000000000009</v>
      </c>
      <c r="AG128" s="32">
        <f t="shared" si="28"/>
        <v>69.660000000000011</v>
      </c>
      <c r="AH128" s="32">
        <f t="shared" si="27"/>
        <v>70.47</v>
      </c>
      <c r="AI128" s="32">
        <f t="shared" si="27"/>
        <v>71.28</v>
      </c>
      <c r="AJ128" s="32">
        <f t="shared" si="27"/>
        <v>72.09</v>
      </c>
      <c r="AK128" s="32">
        <f t="shared" si="27"/>
        <v>72.900000000000006</v>
      </c>
      <c r="AL128" s="32">
        <f t="shared" si="27"/>
        <v>73.710000000000008</v>
      </c>
      <c r="AM128" s="32">
        <f t="shared" si="27"/>
        <v>74.52</v>
      </c>
      <c r="AN128" s="32">
        <f t="shared" si="27"/>
        <v>75.33</v>
      </c>
      <c r="AO128" s="32">
        <f t="shared" si="27"/>
        <v>76.140000000000015</v>
      </c>
      <c r="AP128" s="32">
        <f t="shared" si="27"/>
        <v>76.95</v>
      </c>
      <c r="AQ128" s="32">
        <f t="shared" si="27"/>
        <v>77.760000000000005</v>
      </c>
      <c r="AR128" s="32">
        <f t="shared" si="27"/>
        <v>78.569999999999993</v>
      </c>
      <c r="AS128" s="32">
        <f t="shared" si="27"/>
        <v>79.38000000000001</v>
      </c>
      <c r="AT128" s="32">
        <f t="shared" ref="AT128:AZ129" si="30">(AT$16-100+$B128/10)*0.9*0.9</f>
        <v>80.190000000000012</v>
      </c>
      <c r="AU128" s="32">
        <f t="shared" si="30"/>
        <v>81</v>
      </c>
      <c r="AV128" s="32">
        <f t="shared" si="30"/>
        <v>81.81</v>
      </c>
      <c r="AW128" s="32">
        <f t="shared" si="30"/>
        <v>82.62</v>
      </c>
      <c r="AX128" s="32">
        <f t="shared" si="30"/>
        <v>83.43</v>
      </c>
      <c r="AY128" s="32">
        <f t="shared" si="30"/>
        <v>84.240000000000009</v>
      </c>
      <c r="AZ128" s="32">
        <f t="shared" si="30"/>
        <v>85.05</v>
      </c>
      <c r="BA128" s="16"/>
    </row>
    <row r="129" spans="1:53" hidden="1" x14ac:dyDescent="0.25">
      <c r="A129" s="16"/>
      <c r="B129" s="31">
        <v>61</v>
      </c>
      <c r="C129" s="32">
        <f t="shared" si="29"/>
        <v>45.441000000000003</v>
      </c>
      <c r="D129" s="32">
        <f t="shared" si="29"/>
        <v>46.251000000000005</v>
      </c>
      <c r="E129" s="32">
        <f t="shared" si="29"/>
        <v>47.061</v>
      </c>
      <c r="F129" s="32">
        <f t="shared" si="29"/>
        <v>47.871000000000002</v>
      </c>
      <c r="G129" s="32">
        <f t="shared" si="29"/>
        <v>48.681000000000004</v>
      </c>
      <c r="H129" s="32">
        <f t="shared" si="29"/>
        <v>49.491</v>
      </c>
      <c r="I129" s="32">
        <f t="shared" si="29"/>
        <v>50.301000000000002</v>
      </c>
      <c r="J129" s="32">
        <f t="shared" si="29"/>
        <v>51.110999999999997</v>
      </c>
      <c r="K129" s="32">
        <f t="shared" si="29"/>
        <v>51.920999999999999</v>
      </c>
      <c r="L129" s="32">
        <f t="shared" si="29"/>
        <v>52.730999999999995</v>
      </c>
      <c r="M129" s="32">
        <f t="shared" si="29"/>
        <v>53.540999999999997</v>
      </c>
      <c r="N129" s="32">
        <f t="shared" si="29"/>
        <v>54.350999999999992</v>
      </c>
      <c r="O129" s="32">
        <f t="shared" si="29"/>
        <v>55.161000000000001</v>
      </c>
      <c r="P129" s="32">
        <f t="shared" si="29"/>
        <v>55.970999999999997</v>
      </c>
      <c r="Q129" s="32">
        <f t="shared" si="29"/>
        <v>56.780999999999999</v>
      </c>
      <c r="R129" s="32">
        <f t="shared" si="29"/>
        <v>57.590999999999994</v>
      </c>
      <c r="S129" s="32">
        <f t="shared" si="28"/>
        <v>58.401000000000003</v>
      </c>
      <c r="T129" s="186">
        <f t="shared" si="28"/>
        <v>59.210999999999991</v>
      </c>
      <c r="U129" s="32">
        <f t="shared" si="28"/>
        <v>60.021000000000001</v>
      </c>
      <c r="V129" s="32">
        <f t="shared" si="28"/>
        <v>60.831000000000003</v>
      </c>
      <c r="W129" s="32">
        <f t="shared" si="28"/>
        <v>61.640999999999998</v>
      </c>
      <c r="X129" s="32">
        <f t="shared" si="28"/>
        <v>62.451000000000001</v>
      </c>
      <c r="Y129" s="32">
        <f t="shared" si="28"/>
        <v>63.260999999999996</v>
      </c>
      <c r="Z129" s="32">
        <f t="shared" si="28"/>
        <v>64.070999999999998</v>
      </c>
      <c r="AA129" s="32">
        <f t="shared" si="28"/>
        <v>64.881</v>
      </c>
      <c r="AB129" s="32">
        <f t="shared" si="28"/>
        <v>65.691000000000003</v>
      </c>
      <c r="AC129" s="32">
        <f t="shared" si="28"/>
        <v>66.501000000000005</v>
      </c>
      <c r="AD129" s="32">
        <f t="shared" si="28"/>
        <v>67.310999999999993</v>
      </c>
      <c r="AE129" s="32">
        <f t="shared" si="28"/>
        <v>68.120999999999995</v>
      </c>
      <c r="AF129" s="32">
        <f t="shared" si="28"/>
        <v>68.931000000000012</v>
      </c>
      <c r="AG129" s="32">
        <f t="shared" si="28"/>
        <v>69.741</v>
      </c>
      <c r="AH129" s="32">
        <f t="shared" si="27"/>
        <v>70.551000000000002</v>
      </c>
      <c r="AI129" s="32">
        <f t="shared" si="27"/>
        <v>71.36099999999999</v>
      </c>
      <c r="AJ129" s="32">
        <f t="shared" si="27"/>
        <v>72.171000000000006</v>
      </c>
      <c r="AK129" s="32">
        <f t="shared" si="27"/>
        <v>72.981000000000009</v>
      </c>
      <c r="AL129" s="32">
        <f t="shared" si="27"/>
        <v>73.790999999999997</v>
      </c>
      <c r="AM129" s="32">
        <f t="shared" si="27"/>
        <v>74.600999999999999</v>
      </c>
      <c r="AN129" s="32">
        <f t="shared" si="27"/>
        <v>75.411000000000001</v>
      </c>
      <c r="AO129" s="32">
        <f t="shared" si="27"/>
        <v>76.221000000000004</v>
      </c>
      <c r="AP129" s="32">
        <f t="shared" si="27"/>
        <v>77.031000000000006</v>
      </c>
      <c r="AQ129" s="32">
        <f t="shared" si="27"/>
        <v>77.840999999999994</v>
      </c>
      <c r="AR129" s="32">
        <f t="shared" si="27"/>
        <v>78.650999999999996</v>
      </c>
      <c r="AS129" s="32">
        <f t="shared" si="27"/>
        <v>79.460999999999999</v>
      </c>
      <c r="AT129" s="32">
        <f t="shared" si="30"/>
        <v>80.271000000000001</v>
      </c>
      <c r="AU129" s="32">
        <f t="shared" si="30"/>
        <v>81.081000000000003</v>
      </c>
      <c r="AV129" s="32">
        <f t="shared" si="30"/>
        <v>81.890999999999991</v>
      </c>
      <c r="AW129" s="32">
        <f t="shared" si="30"/>
        <v>82.701000000000008</v>
      </c>
      <c r="AX129" s="32">
        <f t="shared" si="30"/>
        <v>83.510999999999996</v>
      </c>
      <c r="AY129" s="32">
        <f t="shared" si="30"/>
        <v>84.320999999999998</v>
      </c>
      <c r="AZ129" s="32">
        <f t="shared" si="30"/>
        <v>85.131</v>
      </c>
      <c r="BA129" s="16"/>
    </row>
    <row r="130" spans="1:53" hidden="1" x14ac:dyDescent="0.25">
      <c r="A130" s="16"/>
      <c r="B130" s="31">
        <v>62</v>
      </c>
      <c r="C130" s="32">
        <f t="shared" si="29"/>
        <v>45.522000000000006</v>
      </c>
      <c r="D130" s="32">
        <f t="shared" si="29"/>
        <v>46.332000000000008</v>
      </c>
      <c r="E130" s="32">
        <f t="shared" si="29"/>
        <v>47.142000000000003</v>
      </c>
      <c r="F130" s="32">
        <f t="shared" si="29"/>
        <v>47.952000000000005</v>
      </c>
      <c r="G130" s="32">
        <f t="shared" si="29"/>
        <v>48.762000000000008</v>
      </c>
      <c r="H130" s="32">
        <f t="shared" si="29"/>
        <v>49.572000000000003</v>
      </c>
      <c r="I130" s="32">
        <f t="shared" si="29"/>
        <v>50.382000000000005</v>
      </c>
      <c r="J130" s="32">
        <f t="shared" si="29"/>
        <v>51.192</v>
      </c>
      <c r="K130" s="32">
        <f t="shared" si="29"/>
        <v>52.002000000000002</v>
      </c>
      <c r="L130" s="32">
        <f t="shared" si="29"/>
        <v>52.812000000000005</v>
      </c>
      <c r="M130" s="32">
        <f t="shared" si="29"/>
        <v>53.622000000000007</v>
      </c>
      <c r="N130" s="32">
        <f t="shared" si="29"/>
        <v>54.432000000000002</v>
      </c>
      <c r="O130" s="32">
        <f t="shared" si="29"/>
        <v>55.242000000000004</v>
      </c>
      <c r="P130" s="32">
        <f t="shared" si="29"/>
        <v>56.052</v>
      </c>
      <c r="Q130" s="32">
        <f t="shared" si="29"/>
        <v>56.862000000000009</v>
      </c>
      <c r="R130" s="32">
        <f t="shared" si="29"/>
        <v>57.671999999999997</v>
      </c>
      <c r="S130" s="32">
        <f t="shared" si="28"/>
        <v>58.482000000000006</v>
      </c>
      <c r="T130" s="186">
        <f t="shared" si="28"/>
        <v>59.292000000000009</v>
      </c>
      <c r="U130" s="32">
        <f t="shared" si="28"/>
        <v>60.102000000000004</v>
      </c>
      <c r="V130" s="32">
        <f t="shared" si="28"/>
        <v>60.912000000000006</v>
      </c>
      <c r="W130" s="32">
        <f t="shared" si="28"/>
        <v>61.722000000000001</v>
      </c>
      <c r="X130" s="32">
        <f t="shared" si="28"/>
        <v>62.532000000000004</v>
      </c>
      <c r="Y130" s="32">
        <f t="shared" si="28"/>
        <v>63.342000000000013</v>
      </c>
      <c r="Z130" s="32">
        <f t="shared" si="28"/>
        <v>64.152000000000001</v>
      </c>
      <c r="AA130" s="32">
        <f t="shared" si="28"/>
        <v>64.962000000000003</v>
      </c>
      <c r="AB130" s="32">
        <f t="shared" si="28"/>
        <v>65.772000000000006</v>
      </c>
      <c r="AC130" s="32">
        <f t="shared" si="28"/>
        <v>66.582000000000008</v>
      </c>
      <c r="AD130" s="32">
        <f t="shared" si="28"/>
        <v>67.39200000000001</v>
      </c>
      <c r="AE130" s="32">
        <f t="shared" si="28"/>
        <v>68.201999999999998</v>
      </c>
      <c r="AF130" s="32">
        <f t="shared" si="28"/>
        <v>69.012000000000015</v>
      </c>
      <c r="AG130" s="32">
        <f t="shared" si="28"/>
        <v>69.822000000000003</v>
      </c>
      <c r="AH130" s="32">
        <f t="shared" si="27"/>
        <v>70.632000000000005</v>
      </c>
      <c r="AI130" s="32">
        <f t="shared" si="27"/>
        <v>71.442000000000007</v>
      </c>
      <c r="AJ130" s="32">
        <f t="shared" si="27"/>
        <v>72.25200000000001</v>
      </c>
      <c r="AK130" s="32">
        <f t="shared" ref="AK130:AZ148" si="31">(AK$16-100+$B130/10)*0.9*0.9</f>
        <v>73.062000000000012</v>
      </c>
      <c r="AL130" s="32">
        <f t="shared" si="31"/>
        <v>73.872</v>
      </c>
      <c r="AM130" s="32">
        <f t="shared" si="31"/>
        <v>74.682000000000002</v>
      </c>
      <c r="AN130" s="32">
        <f t="shared" si="31"/>
        <v>75.492000000000004</v>
      </c>
      <c r="AO130" s="32">
        <f t="shared" si="31"/>
        <v>76.302000000000007</v>
      </c>
      <c r="AP130" s="32">
        <f t="shared" si="31"/>
        <v>77.112000000000009</v>
      </c>
      <c r="AQ130" s="32">
        <f t="shared" si="31"/>
        <v>77.921999999999997</v>
      </c>
      <c r="AR130" s="32">
        <f t="shared" si="31"/>
        <v>78.731999999999999</v>
      </c>
      <c r="AS130" s="32">
        <f t="shared" si="31"/>
        <v>79.542000000000016</v>
      </c>
      <c r="AT130" s="32">
        <f t="shared" si="31"/>
        <v>80.352000000000004</v>
      </c>
      <c r="AU130" s="32">
        <f t="shared" si="31"/>
        <v>81.162000000000006</v>
      </c>
      <c r="AV130" s="32">
        <f t="shared" si="31"/>
        <v>81.971999999999994</v>
      </c>
      <c r="AW130" s="32">
        <f t="shared" si="31"/>
        <v>82.782000000000011</v>
      </c>
      <c r="AX130" s="32">
        <f t="shared" si="31"/>
        <v>83.592000000000013</v>
      </c>
      <c r="AY130" s="32">
        <f t="shared" si="31"/>
        <v>84.402000000000001</v>
      </c>
      <c r="AZ130" s="32">
        <f t="shared" si="31"/>
        <v>85.212000000000003</v>
      </c>
      <c r="BA130" s="16"/>
    </row>
    <row r="131" spans="1:53" hidden="1" x14ac:dyDescent="0.25">
      <c r="A131" s="16"/>
      <c r="B131" s="31">
        <v>63</v>
      </c>
      <c r="C131" s="32">
        <f t="shared" si="29"/>
        <v>45.603000000000002</v>
      </c>
      <c r="D131" s="32">
        <f t="shared" si="29"/>
        <v>46.413000000000004</v>
      </c>
      <c r="E131" s="32">
        <f t="shared" si="29"/>
        <v>47.222999999999999</v>
      </c>
      <c r="F131" s="32">
        <f t="shared" si="29"/>
        <v>48.033000000000001</v>
      </c>
      <c r="G131" s="32">
        <f t="shared" si="29"/>
        <v>48.842999999999996</v>
      </c>
      <c r="H131" s="32">
        <f t="shared" si="29"/>
        <v>49.653000000000006</v>
      </c>
      <c r="I131" s="32">
        <f t="shared" si="29"/>
        <v>50.463000000000001</v>
      </c>
      <c r="J131" s="32">
        <f t="shared" si="29"/>
        <v>51.273000000000003</v>
      </c>
      <c r="K131" s="32">
        <f t="shared" si="29"/>
        <v>52.082999999999998</v>
      </c>
      <c r="L131" s="32">
        <f t="shared" si="29"/>
        <v>52.893000000000001</v>
      </c>
      <c r="M131" s="32">
        <f t="shared" si="29"/>
        <v>53.703000000000003</v>
      </c>
      <c r="N131" s="32">
        <f t="shared" si="29"/>
        <v>54.512999999999998</v>
      </c>
      <c r="O131" s="32">
        <f t="shared" si="29"/>
        <v>55.323</v>
      </c>
      <c r="P131" s="32">
        <f t="shared" si="29"/>
        <v>56.132999999999996</v>
      </c>
      <c r="Q131" s="32">
        <f t="shared" si="29"/>
        <v>56.942999999999998</v>
      </c>
      <c r="R131" s="32">
        <f t="shared" si="29"/>
        <v>57.753</v>
      </c>
      <c r="S131" s="32">
        <f t="shared" si="28"/>
        <v>58.562999999999995</v>
      </c>
      <c r="T131" s="186">
        <f t="shared" si="28"/>
        <v>59.372999999999998</v>
      </c>
      <c r="U131" s="32">
        <f t="shared" si="28"/>
        <v>60.183000000000007</v>
      </c>
      <c r="V131" s="32">
        <f t="shared" si="28"/>
        <v>60.992999999999995</v>
      </c>
      <c r="W131" s="32">
        <f t="shared" si="28"/>
        <v>61.803000000000004</v>
      </c>
      <c r="X131" s="32">
        <f t="shared" si="28"/>
        <v>62.612999999999992</v>
      </c>
      <c r="Y131" s="32">
        <f t="shared" si="28"/>
        <v>63.423000000000002</v>
      </c>
      <c r="Z131" s="32">
        <f t="shared" si="28"/>
        <v>64.233000000000004</v>
      </c>
      <c r="AA131" s="32">
        <f t="shared" si="28"/>
        <v>65.042999999999992</v>
      </c>
      <c r="AB131" s="32">
        <f t="shared" si="28"/>
        <v>65.853000000000009</v>
      </c>
      <c r="AC131" s="32">
        <f t="shared" si="28"/>
        <v>66.662999999999997</v>
      </c>
      <c r="AD131" s="32">
        <f t="shared" si="28"/>
        <v>67.472999999999999</v>
      </c>
      <c r="AE131" s="32">
        <f t="shared" si="28"/>
        <v>68.283000000000001</v>
      </c>
      <c r="AF131" s="32">
        <f t="shared" si="28"/>
        <v>69.093000000000004</v>
      </c>
      <c r="AG131" s="32">
        <f t="shared" si="28"/>
        <v>69.903000000000006</v>
      </c>
      <c r="AH131" s="32">
        <f t="shared" ref="AH131:AS148" si="32">(AH$16-100+$B131/10)*0.9*0.9</f>
        <v>70.712999999999994</v>
      </c>
      <c r="AI131" s="32">
        <f t="shared" si="32"/>
        <v>71.522999999999996</v>
      </c>
      <c r="AJ131" s="32">
        <f t="shared" si="32"/>
        <v>72.333000000000013</v>
      </c>
      <c r="AK131" s="32">
        <f t="shared" si="32"/>
        <v>73.143000000000001</v>
      </c>
      <c r="AL131" s="32">
        <f t="shared" si="32"/>
        <v>73.953000000000003</v>
      </c>
      <c r="AM131" s="32">
        <f t="shared" si="31"/>
        <v>74.762999999999991</v>
      </c>
      <c r="AN131" s="32">
        <f t="shared" si="31"/>
        <v>75.573000000000008</v>
      </c>
      <c r="AO131" s="32">
        <f t="shared" si="31"/>
        <v>76.38300000000001</v>
      </c>
      <c r="AP131" s="32">
        <f t="shared" si="31"/>
        <v>77.192999999999998</v>
      </c>
      <c r="AQ131" s="32">
        <f t="shared" si="31"/>
        <v>78.003</v>
      </c>
      <c r="AR131" s="32">
        <f t="shared" si="31"/>
        <v>78.813000000000002</v>
      </c>
      <c r="AS131" s="32">
        <f t="shared" si="31"/>
        <v>79.623000000000005</v>
      </c>
      <c r="AT131" s="32">
        <f t="shared" si="31"/>
        <v>80.433000000000007</v>
      </c>
      <c r="AU131" s="32">
        <f t="shared" si="31"/>
        <v>81.242999999999995</v>
      </c>
      <c r="AV131" s="32">
        <f t="shared" si="31"/>
        <v>82.052999999999997</v>
      </c>
      <c r="AW131" s="32">
        <f t="shared" si="31"/>
        <v>82.863</v>
      </c>
      <c r="AX131" s="32">
        <f t="shared" si="31"/>
        <v>83.673000000000002</v>
      </c>
      <c r="AY131" s="32">
        <f t="shared" si="31"/>
        <v>84.483000000000004</v>
      </c>
      <c r="AZ131" s="32">
        <f t="shared" si="31"/>
        <v>85.292999999999992</v>
      </c>
      <c r="BA131" s="16"/>
    </row>
    <row r="132" spans="1:53" hidden="1" x14ac:dyDescent="0.25">
      <c r="A132" s="16"/>
      <c r="B132" s="31">
        <v>64</v>
      </c>
      <c r="C132" s="32">
        <f t="shared" si="29"/>
        <v>45.683999999999997</v>
      </c>
      <c r="D132" s="32">
        <f t="shared" si="29"/>
        <v>46.494</v>
      </c>
      <c r="E132" s="32">
        <f t="shared" si="29"/>
        <v>47.304000000000002</v>
      </c>
      <c r="F132" s="32">
        <f t="shared" si="29"/>
        <v>48.114000000000004</v>
      </c>
      <c r="G132" s="32">
        <f t="shared" si="29"/>
        <v>48.923999999999999</v>
      </c>
      <c r="H132" s="32">
        <f t="shared" si="29"/>
        <v>49.734000000000002</v>
      </c>
      <c r="I132" s="32">
        <f t="shared" si="29"/>
        <v>50.543999999999997</v>
      </c>
      <c r="J132" s="32">
        <f t="shared" si="29"/>
        <v>51.354000000000006</v>
      </c>
      <c r="K132" s="32">
        <f t="shared" si="29"/>
        <v>52.164000000000009</v>
      </c>
      <c r="L132" s="32">
        <f t="shared" si="29"/>
        <v>52.974000000000004</v>
      </c>
      <c r="M132" s="32">
        <f t="shared" si="29"/>
        <v>53.784000000000006</v>
      </c>
      <c r="N132" s="32">
        <f t="shared" si="29"/>
        <v>54.594000000000001</v>
      </c>
      <c r="O132" s="32">
        <f t="shared" si="29"/>
        <v>55.404000000000011</v>
      </c>
      <c r="P132" s="32">
        <f t="shared" si="29"/>
        <v>56.214000000000006</v>
      </c>
      <c r="Q132" s="32">
        <f t="shared" si="29"/>
        <v>57.024000000000008</v>
      </c>
      <c r="R132" s="32">
        <f t="shared" si="29"/>
        <v>57.834000000000003</v>
      </c>
      <c r="S132" s="32">
        <f t="shared" si="28"/>
        <v>58.644000000000013</v>
      </c>
      <c r="T132" s="186">
        <f t="shared" si="28"/>
        <v>59.454000000000001</v>
      </c>
      <c r="U132" s="32">
        <f t="shared" si="28"/>
        <v>60.26400000000001</v>
      </c>
      <c r="V132" s="32">
        <f t="shared" si="28"/>
        <v>61.074000000000012</v>
      </c>
      <c r="W132" s="32">
        <f t="shared" si="28"/>
        <v>61.884000000000007</v>
      </c>
      <c r="X132" s="32">
        <f t="shared" si="28"/>
        <v>62.69400000000001</v>
      </c>
      <c r="Y132" s="32">
        <f t="shared" si="28"/>
        <v>63.504000000000005</v>
      </c>
      <c r="Z132" s="32">
        <f t="shared" si="28"/>
        <v>64.314000000000007</v>
      </c>
      <c r="AA132" s="32">
        <f t="shared" si="28"/>
        <v>65.124000000000009</v>
      </c>
      <c r="AB132" s="32">
        <f t="shared" si="28"/>
        <v>65.934000000000012</v>
      </c>
      <c r="AC132" s="32">
        <f t="shared" si="28"/>
        <v>66.744000000000014</v>
      </c>
      <c r="AD132" s="32">
        <f t="shared" si="28"/>
        <v>67.554000000000002</v>
      </c>
      <c r="AE132" s="32">
        <f t="shared" si="28"/>
        <v>68.364000000000004</v>
      </c>
      <c r="AF132" s="32">
        <f t="shared" si="28"/>
        <v>69.174000000000021</v>
      </c>
      <c r="AG132" s="32">
        <f t="shared" si="28"/>
        <v>69.984000000000009</v>
      </c>
      <c r="AH132" s="32">
        <f t="shared" si="32"/>
        <v>70.794000000000011</v>
      </c>
      <c r="AI132" s="32">
        <f t="shared" si="32"/>
        <v>71.603999999999999</v>
      </c>
      <c r="AJ132" s="32">
        <f t="shared" si="32"/>
        <v>72.414000000000016</v>
      </c>
      <c r="AK132" s="32">
        <f t="shared" si="32"/>
        <v>73.224000000000018</v>
      </c>
      <c r="AL132" s="32">
        <f t="shared" si="32"/>
        <v>74.034000000000006</v>
      </c>
      <c r="AM132" s="32">
        <f t="shared" si="31"/>
        <v>74.844000000000008</v>
      </c>
      <c r="AN132" s="32">
        <f t="shared" si="31"/>
        <v>75.654000000000011</v>
      </c>
      <c r="AO132" s="32">
        <f t="shared" si="31"/>
        <v>76.464000000000013</v>
      </c>
      <c r="AP132" s="32">
        <f t="shared" si="31"/>
        <v>77.274000000000015</v>
      </c>
      <c r="AQ132" s="32">
        <f t="shared" si="31"/>
        <v>78.084000000000003</v>
      </c>
      <c r="AR132" s="32">
        <f t="shared" si="31"/>
        <v>78.894000000000005</v>
      </c>
      <c r="AS132" s="32">
        <f t="shared" si="31"/>
        <v>79.704000000000008</v>
      </c>
      <c r="AT132" s="32">
        <f t="shared" si="31"/>
        <v>80.51400000000001</v>
      </c>
      <c r="AU132" s="32">
        <f t="shared" si="31"/>
        <v>81.324000000000012</v>
      </c>
      <c r="AV132" s="32">
        <f t="shared" si="31"/>
        <v>82.134</v>
      </c>
      <c r="AW132" s="32">
        <f t="shared" si="31"/>
        <v>82.944000000000017</v>
      </c>
      <c r="AX132" s="32">
        <f t="shared" si="31"/>
        <v>83.754000000000005</v>
      </c>
      <c r="AY132" s="32">
        <f t="shared" si="31"/>
        <v>84.564000000000007</v>
      </c>
      <c r="AZ132" s="32">
        <f t="shared" si="31"/>
        <v>85.374000000000009</v>
      </c>
      <c r="BA132" s="16"/>
    </row>
    <row r="133" spans="1:53" hidden="1" x14ac:dyDescent="0.25">
      <c r="A133" s="16"/>
      <c r="B133" s="31">
        <v>65</v>
      </c>
      <c r="C133" s="32">
        <f t="shared" si="29"/>
        <v>45.765000000000001</v>
      </c>
      <c r="D133" s="32">
        <f t="shared" si="29"/>
        <v>46.575000000000003</v>
      </c>
      <c r="E133" s="32">
        <f t="shared" si="29"/>
        <v>47.384999999999998</v>
      </c>
      <c r="F133" s="32">
        <f t="shared" si="29"/>
        <v>48.195000000000007</v>
      </c>
      <c r="G133" s="32">
        <f t="shared" si="29"/>
        <v>49.005000000000003</v>
      </c>
      <c r="H133" s="32">
        <f t="shared" si="29"/>
        <v>49.815000000000005</v>
      </c>
      <c r="I133" s="32">
        <f t="shared" si="29"/>
        <v>50.625</v>
      </c>
      <c r="J133" s="32">
        <f t="shared" si="29"/>
        <v>51.435000000000002</v>
      </c>
      <c r="K133" s="32">
        <f t="shared" si="29"/>
        <v>52.245000000000005</v>
      </c>
      <c r="L133" s="32">
        <f t="shared" si="29"/>
        <v>53.055000000000007</v>
      </c>
      <c r="M133" s="32">
        <f t="shared" si="29"/>
        <v>53.865000000000002</v>
      </c>
      <c r="N133" s="32">
        <f t="shared" si="29"/>
        <v>54.675000000000004</v>
      </c>
      <c r="O133" s="32">
        <f t="shared" si="29"/>
        <v>55.484999999999999</v>
      </c>
      <c r="P133" s="32">
        <f t="shared" si="29"/>
        <v>56.295000000000002</v>
      </c>
      <c r="Q133" s="32">
        <f t="shared" si="29"/>
        <v>57.105000000000004</v>
      </c>
      <c r="R133" s="32">
        <f t="shared" si="29"/>
        <v>57.915000000000006</v>
      </c>
      <c r="S133" s="32">
        <f t="shared" si="28"/>
        <v>58.725000000000001</v>
      </c>
      <c r="T133" s="186">
        <f t="shared" si="28"/>
        <v>59.535000000000004</v>
      </c>
      <c r="U133" s="32">
        <f t="shared" si="28"/>
        <v>60.344999999999999</v>
      </c>
      <c r="V133" s="32">
        <f t="shared" si="28"/>
        <v>61.155000000000001</v>
      </c>
      <c r="W133" s="32">
        <f t="shared" si="28"/>
        <v>61.965000000000011</v>
      </c>
      <c r="X133" s="32">
        <f t="shared" si="28"/>
        <v>62.774999999999999</v>
      </c>
      <c r="Y133" s="32">
        <f t="shared" si="28"/>
        <v>63.585000000000008</v>
      </c>
      <c r="Z133" s="32">
        <f t="shared" si="28"/>
        <v>64.394999999999996</v>
      </c>
      <c r="AA133" s="32">
        <f t="shared" si="28"/>
        <v>65.204999999999998</v>
      </c>
      <c r="AB133" s="32">
        <f t="shared" si="28"/>
        <v>66.015000000000015</v>
      </c>
      <c r="AC133" s="32">
        <f t="shared" si="28"/>
        <v>66.825000000000003</v>
      </c>
      <c r="AD133" s="32">
        <f t="shared" si="28"/>
        <v>67.635000000000005</v>
      </c>
      <c r="AE133" s="32">
        <f t="shared" si="28"/>
        <v>68.444999999999993</v>
      </c>
      <c r="AF133" s="32">
        <f t="shared" si="28"/>
        <v>69.25500000000001</v>
      </c>
      <c r="AG133" s="32">
        <f t="shared" si="28"/>
        <v>70.065000000000012</v>
      </c>
      <c r="AH133" s="32">
        <f t="shared" si="32"/>
        <v>70.875</v>
      </c>
      <c r="AI133" s="32">
        <f t="shared" si="32"/>
        <v>71.685000000000002</v>
      </c>
      <c r="AJ133" s="32">
        <f t="shared" si="32"/>
        <v>72.495000000000005</v>
      </c>
      <c r="AK133" s="32">
        <f t="shared" si="32"/>
        <v>73.305000000000007</v>
      </c>
      <c r="AL133" s="32">
        <f t="shared" si="32"/>
        <v>74.115000000000009</v>
      </c>
      <c r="AM133" s="32">
        <f t="shared" si="31"/>
        <v>74.924999999999997</v>
      </c>
      <c r="AN133" s="32">
        <f t="shared" si="31"/>
        <v>75.735000000000014</v>
      </c>
      <c r="AO133" s="32">
        <f t="shared" si="31"/>
        <v>76.545000000000002</v>
      </c>
      <c r="AP133" s="32">
        <f t="shared" si="31"/>
        <v>77.355000000000004</v>
      </c>
      <c r="AQ133" s="32">
        <f t="shared" si="31"/>
        <v>78.165000000000006</v>
      </c>
      <c r="AR133" s="32">
        <f t="shared" si="31"/>
        <v>78.975000000000009</v>
      </c>
      <c r="AS133" s="32">
        <f t="shared" si="31"/>
        <v>79.785000000000011</v>
      </c>
      <c r="AT133" s="32">
        <f t="shared" si="31"/>
        <v>80.594999999999999</v>
      </c>
      <c r="AU133" s="32">
        <f t="shared" si="31"/>
        <v>81.405000000000001</v>
      </c>
      <c r="AV133" s="32">
        <f t="shared" si="31"/>
        <v>82.215000000000003</v>
      </c>
      <c r="AW133" s="32">
        <f t="shared" si="31"/>
        <v>83.025000000000006</v>
      </c>
      <c r="AX133" s="32">
        <f t="shared" si="31"/>
        <v>83.835000000000008</v>
      </c>
      <c r="AY133" s="32">
        <f t="shared" si="31"/>
        <v>84.644999999999996</v>
      </c>
      <c r="AZ133" s="32">
        <f t="shared" si="31"/>
        <v>85.454999999999998</v>
      </c>
      <c r="BA133" s="16"/>
    </row>
    <row r="134" spans="1:53" hidden="1" x14ac:dyDescent="0.25">
      <c r="A134" s="16"/>
      <c r="B134" s="31">
        <v>66</v>
      </c>
      <c r="C134" s="32">
        <f t="shared" si="29"/>
        <v>45.846000000000004</v>
      </c>
      <c r="D134" s="32">
        <f t="shared" si="29"/>
        <v>46.656000000000006</v>
      </c>
      <c r="E134" s="32">
        <f t="shared" si="29"/>
        <v>47.466000000000001</v>
      </c>
      <c r="F134" s="32">
        <f t="shared" si="29"/>
        <v>48.276000000000003</v>
      </c>
      <c r="G134" s="32">
        <f t="shared" si="29"/>
        <v>49.085999999999999</v>
      </c>
      <c r="H134" s="32">
        <f t="shared" si="29"/>
        <v>49.896000000000008</v>
      </c>
      <c r="I134" s="32">
        <f t="shared" si="29"/>
        <v>50.706000000000003</v>
      </c>
      <c r="J134" s="32">
        <f t="shared" si="29"/>
        <v>51.516000000000005</v>
      </c>
      <c r="K134" s="32">
        <f t="shared" si="29"/>
        <v>52.325999999999993</v>
      </c>
      <c r="L134" s="32">
        <f t="shared" si="29"/>
        <v>53.136000000000003</v>
      </c>
      <c r="M134" s="32">
        <f t="shared" si="29"/>
        <v>53.945999999999998</v>
      </c>
      <c r="N134" s="32">
        <f t="shared" si="29"/>
        <v>54.756</v>
      </c>
      <c r="O134" s="32">
        <f t="shared" si="29"/>
        <v>55.565999999999995</v>
      </c>
      <c r="P134" s="32">
        <f t="shared" si="29"/>
        <v>56.375999999999998</v>
      </c>
      <c r="Q134" s="32">
        <f t="shared" si="29"/>
        <v>57.186</v>
      </c>
      <c r="R134" s="32">
        <f t="shared" si="29"/>
        <v>57.996000000000002</v>
      </c>
      <c r="S134" s="32">
        <f t="shared" si="28"/>
        <v>58.806000000000004</v>
      </c>
      <c r="T134" s="186">
        <f t="shared" si="28"/>
        <v>59.616</v>
      </c>
      <c r="U134" s="32">
        <f t="shared" si="28"/>
        <v>60.426000000000002</v>
      </c>
      <c r="V134" s="32">
        <f t="shared" si="28"/>
        <v>61.235999999999997</v>
      </c>
      <c r="W134" s="32">
        <f t="shared" si="28"/>
        <v>62.045999999999999</v>
      </c>
      <c r="X134" s="32">
        <f t="shared" si="28"/>
        <v>62.856000000000002</v>
      </c>
      <c r="Y134" s="32">
        <f t="shared" si="28"/>
        <v>63.665999999999997</v>
      </c>
      <c r="Z134" s="32">
        <f t="shared" si="28"/>
        <v>64.475999999999999</v>
      </c>
      <c r="AA134" s="32">
        <f t="shared" si="28"/>
        <v>65.286000000000001</v>
      </c>
      <c r="AB134" s="32">
        <f t="shared" si="28"/>
        <v>66.096000000000004</v>
      </c>
      <c r="AC134" s="32">
        <f t="shared" si="28"/>
        <v>66.906000000000006</v>
      </c>
      <c r="AD134" s="32">
        <f t="shared" si="28"/>
        <v>67.715999999999994</v>
      </c>
      <c r="AE134" s="32">
        <f t="shared" si="28"/>
        <v>68.525999999999996</v>
      </c>
      <c r="AF134" s="32">
        <f t="shared" si="28"/>
        <v>69.335999999999999</v>
      </c>
      <c r="AG134" s="32">
        <f t="shared" si="28"/>
        <v>70.146000000000001</v>
      </c>
      <c r="AH134" s="32">
        <f t="shared" si="32"/>
        <v>70.956000000000003</v>
      </c>
      <c r="AI134" s="32">
        <f t="shared" si="32"/>
        <v>71.765999999999991</v>
      </c>
      <c r="AJ134" s="32">
        <f t="shared" si="32"/>
        <v>72.576000000000008</v>
      </c>
      <c r="AK134" s="32">
        <f t="shared" si="32"/>
        <v>73.385999999999996</v>
      </c>
      <c r="AL134" s="32">
        <f t="shared" si="32"/>
        <v>74.195999999999998</v>
      </c>
      <c r="AM134" s="32">
        <f t="shared" si="32"/>
        <v>75.006</v>
      </c>
      <c r="AN134" s="32">
        <f t="shared" si="32"/>
        <v>75.816000000000003</v>
      </c>
      <c r="AO134" s="32">
        <f t="shared" si="32"/>
        <v>76.626000000000005</v>
      </c>
      <c r="AP134" s="32">
        <f t="shared" si="32"/>
        <v>77.435999999999993</v>
      </c>
      <c r="AQ134" s="32">
        <f t="shared" si="32"/>
        <v>78.245999999999995</v>
      </c>
      <c r="AR134" s="32">
        <f t="shared" si="32"/>
        <v>79.056000000000012</v>
      </c>
      <c r="AS134" s="32">
        <f t="shared" si="32"/>
        <v>79.866</v>
      </c>
      <c r="AT134" s="32">
        <f t="shared" si="31"/>
        <v>80.676000000000002</v>
      </c>
      <c r="AU134" s="32">
        <f t="shared" si="31"/>
        <v>81.48599999999999</v>
      </c>
      <c r="AV134" s="32">
        <f t="shared" si="31"/>
        <v>82.296000000000006</v>
      </c>
      <c r="AW134" s="32">
        <f t="shared" si="31"/>
        <v>83.106000000000009</v>
      </c>
      <c r="AX134" s="32">
        <f t="shared" si="31"/>
        <v>83.915999999999997</v>
      </c>
      <c r="AY134" s="32">
        <f t="shared" si="31"/>
        <v>84.725999999999999</v>
      </c>
      <c r="AZ134" s="32">
        <f t="shared" si="31"/>
        <v>85.536000000000001</v>
      </c>
      <c r="BA134" s="16"/>
    </row>
    <row r="135" spans="1:53" hidden="1" x14ac:dyDescent="0.25">
      <c r="A135" s="16"/>
      <c r="B135" s="31">
        <v>67</v>
      </c>
      <c r="C135" s="32">
        <f t="shared" si="29"/>
        <v>45.927</v>
      </c>
      <c r="D135" s="32">
        <f t="shared" si="29"/>
        <v>46.737000000000009</v>
      </c>
      <c r="E135" s="32">
        <f t="shared" si="29"/>
        <v>47.547000000000004</v>
      </c>
      <c r="F135" s="32">
        <f t="shared" si="29"/>
        <v>48.357000000000006</v>
      </c>
      <c r="G135" s="32">
        <f t="shared" si="29"/>
        <v>49.167000000000002</v>
      </c>
      <c r="H135" s="32">
        <f t="shared" si="29"/>
        <v>49.977000000000004</v>
      </c>
      <c r="I135" s="32">
        <f t="shared" si="29"/>
        <v>50.787000000000006</v>
      </c>
      <c r="J135" s="32">
        <f t="shared" si="29"/>
        <v>51.597000000000008</v>
      </c>
      <c r="K135" s="32">
        <f t="shared" si="29"/>
        <v>52.407000000000004</v>
      </c>
      <c r="L135" s="32">
        <f t="shared" si="29"/>
        <v>53.217000000000006</v>
      </c>
      <c r="M135" s="32">
        <f t="shared" si="29"/>
        <v>54.027000000000001</v>
      </c>
      <c r="N135" s="32">
        <f t="shared" si="29"/>
        <v>54.83700000000001</v>
      </c>
      <c r="O135" s="32">
        <f t="shared" si="29"/>
        <v>55.647000000000006</v>
      </c>
      <c r="P135" s="32">
        <f t="shared" si="29"/>
        <v>56.457000000000008</v>
      </c>
      <c r="Q135" s="32">
        <f t="shared" si="29"/>
        <v>57.267000000000003</v>
      </c>
      <c r="R135" s="32">
        <f t="shared" si="29"/>
        <v>58.077000000000005</v>
      </c>
      <c r="S135" s="32">
        <f t="shared" si="28"/>
        <v>58.887000000000008</v>
      </c>
      <c r="T135" s="186">
        <f t="shared" si="28"/>
        <v>59.697000000000003</v>
      </c>
      <c r="U135" s="32">
        <f t="shared" si="28"/>
        <v>60.507000000000005</v>
      </c>
      <c r="V135" s="32">
        <f t="shared" si="28"/>
        <v>61.317000000000007</v>
      </c>
      <c r="W135" s="32">
        <f t="shared" si="28"/>
        <v>62.127000000000002</v>
      </c>
      <c r="X135" s="32">
        <f t="shared" si="28"/>
        <v>62.937000000000005</v>
      </c>
      <c r="Y135" s="32">
        <f t="shared" si="28"/>
        <v>63.747</v>
      </c>
      <c r="Z135" s="32">
        <f t="shared" si="28"/>
        <v>64.557000000000002</v>
      </c>
      <c r="AA135" s="32">
        <f t="shared" si="28"/>
        <v>65.367000000000004</v>
      </c>
      <c r="AB135" s="32">
        <f t="shared" si="28"/>
        <v>66.177000000000007</v>
      </c>
      <c r="AC135" s="32">
        <f t="shared" si="28"/>
        <v>66.987000000000009</v>
      </c>
      <c r="AD135" s="32">
        <f t="shared" si="28"/>
        <v>67.796999999999997</v>
      </c>
      <c r="AE135" s="32">
        <f t="shared" si="28"/>
        <v>68.606999999999999</v>
      </c>
      <c r="AF135" s="32">
        <f t="shared" si="28"/>
        <v>69.417000000000016</v>
      </c>
      <c r="AG135" s="32">
        <f t="shared" si="28"/>
        <v>70.227000000000004</v>
      </c>
      <c r="AH135" s="32">
        <f t="shared" si="32"/>
        <v>71.037000000000006</v>
      </c>
      <c r="AI135" s="32">
        <f t="shared" si="32"/>
        <v>71.846999999999994</v>
      </c>
      <c r="AJ135" s="32">
        <f t="shared" si="32"/>
        <v>72.657000000000011</v>
      </c>
      <c r="AK135" s="32">
        <f t="shared" si="32"/>
        <v>73.467000000000013</v>
      </c>
      <c r="AL135" s="32">
        <f t="shared" si="32"/>
        <v>74.277000000000001</v>
      </c>
      <c r="AM135" s="32">
        <f t="shared" si="31"/>
        <v>75.087000000000003</v>
      </c>
      <c r="AN135" s="32">
        <f t="shared" si="31"/>
        <v>75.897000000000006</v>
      </c>
      <c r="AO135" s="32">
        <f t="shared" si="31"/>
        <v>76.707000000000008</v>
      </c>
      <c r="AP135" s="32">
        <f t="shared" si="31"/>
        <v>77.51700000000001</v>
      </c>
      <c r="AQ135" s="32">
        <f t="shared" si="31"/>
        <v>78.326999999999998</v>
      </c>
      <c r="AR135" s="32">
        <f t="shared" si="31"/>
        <v>79.137000000000015</v>
      </c>
      <c r="AS135" s="32">
        <f t="shared" si="31"/>
        <v>79.947000000000003</v>
      </c>
      <c r="AT135" s="32">
        <f t="shared" si="31"/>
        <v>80.757000000000005</v>
      </c>
      <c r="AU135" s="32">
        <f t="shared" si="31"/>
        <v>81.567000000000007</v>
      </c>
      <c r="AV135" s="32">
        <f t="shared" si="31"/>
        <v>82.37700000000001</v>
      </c>
      <c r="AW135" s="32">
        <f t="shared" si="31"/>
        <v>83.187000000000012</v>
      </c>
      <c r="AX135" s="32">
        <f t="shared" si="31"/>
        <v>83.997</v>
      </c>
      <c r="AY135" s="32">
        <f t="shared" si="31"/>
        <v>84.807000000000002</v>
      </c>
      <c r="AZ135" s="32">
        <f t="shared" si="31"/>
        <v>85.617000000000004</v>
      </c>
      <c r="BA135" s="16"/>
    </row>
    <row r="136" spans="1:53" hidden="1" x14ac:dyDescent="0.25">
      <c r="A136" s="16"/>
      <c r="B136" s="31">
        <v>68</v>
      </c>
      <c r="C136" s="32">
        <f t="shared" si="29"/>
        <v>46.007999999999996</v>
      </c>
      <c r="D136" s="32">
        <f t="shared" si="29"/>
        <v>46.817999999999998</v>
      </c>
      <c r="E136" s="32">
        <f t="shared" si="29"/>
        <v>47.628</v>
      </c>
      <c r="F136" s="32">
        <f t="shared" si="29"/>
        <v>48.438000000000002</v>
      </c>
      <c r="G136" s="32">
        <f t="shared" si="29"/>
        <v>49.247999999999998</v>
      </c>
      <c r="H136" s="32">
        <f t="shared" si="29"/>
        <v>50.058</v>
      </c>
      <c r="I136" s="32">
        <f t="shared" si="29"/>
        <v>50.867999999999995</v>
      </c>
      <c r="J136" s="32">
        <f t="shared" si="29"/>
        <v>51.678000000000004</v>
      </c>
      <c r="K136" s="32">
        <f t="shared" si="29"/>
        <v>52.488</v>
      </c>
      <c r="L136" s="32">
        <f t="shared" si="29"/>
        <v>53.298000000000002</v>
      </c>
      <c r="M136" s="32">
        <f t="shared" si="29"/>
        <v>54.107999999999997</v>
      </c>
      <c r="N136" s="32">
        <f t="shared" si="29"/>
        <v>54.917999999999999</v>
      </c>
      <c r="O136" s="32">
        <f t="shared" si="29"/>
        <v>55.728000000000002</v>
      </c>
      <c r="P136" s="32">
        <f t="shared" si="29"/>
        <v>56.538000000000004</v>
      </c>
      <c r="Q136" s="32">
        <f t="shared" si="29"/>
        <v>57.347999999999999</v>
      </c>
      <c r="R136" s="32">
        <f t="shared" si="29"/>
        <v>58.158000000000008</v>
      </c>
      <c r="S136" s="32">
        <f t="shared" si="28"/>
        <v>58.967999999999996</v>
      </c>
      <c r="T136" s="186">
        <f t="shared" si="28"/>
        <v>59.778000000000006</v>
      </c>
      <c r="U136" s="32">
        <f t="shared" si="28"/>
        <v>60.587999999999994</v>
      </c>
      <c r="V136" s="32">
        <f t="shared" si="28"/>
        <v>61.398000000000003</v>
      </c>
      <c r="W136" s="32">
        <f t="shared" si="28"/>
        <v>62.208000000000006</v>
      </c>
      <c r="X136" s="32">
        <f t="shared" si="28"/>
        <v>63.018000000000001</v>
      </c>
      <c r="Y136" s="32">
        <f t="shared" si="28"/>
        <v>63.828000000000003</v>
      </c>
      <c r="Z136" s="32">
        <f t="shared" si="28"/>
        <v>64.637999999999991</v>
      </c>
      <c r="AA136" s="32">
        <f t="shared" si="28"/>
        <v>65.448000000000008</v>
      </c>
      <c r="AB136" s="32">
        <f t="shared" si="28"/>
        <v>66.25800000000001</v>
      </c>
      <c r="AC136" s="32">
        <f t="shared" si="28"/>
        <v>67.067999999999998</v>
      </c>
      <c r="AD136" s="32">
        <f t="shared" si="28"/>
        <v>67.878</v>
      </c>
      <c r="AE136" s="32">
        <f t="shared" si="28"/>
        <v>68.688000000000002</v>
      </c>
      <c r="AF136" s="32">
        <f t="shared" si="28"/>
        <v>69.498000000000005</v>
      </c>
      <c r="AG136" s="32">
        <f t="shared" si="28"/>
        <v>70.308000000000007</v>
      </c>
      <c r="AH136" s="32">
        <f t="shared" si="32"/>
        <v>71.117999999999995</v>
      </c>
      <c r="AI136" s="32">
        <f t="shared" si="32"/>
        <v>71.927999999999997</v>
      </c>
      <c r="AJ136" s="32">
        <f t="shared" si="32"/>
        <v>72.738</v>
      </c>
      <c r="AK136" s="32">
        <f t="shared" si="32"/>
        <v>73.548000000000002</v>
      </c>
      <c r="AL136" s="32">
        <f t="shared" si="32"/>
        <v>74.358000000000004</v>
      </c>
      <c r="AM136" s="32">
        <f t="shared" si="31"/>
        <v>75.167999999999992</v>
      </c>
      <c r="AN136" s="32">
        <f t="shared" si="31"/>
        <v>75.978000000000009</v>
      </c>
      <c r="AO136" s="32">
        <f t="shared" si="31"/>
        <v>76.787999999999997</v>
      </c>
      <c r="AP136" s="32">
        <f t="shared" si="31"/>
        <v>77.597999999999999</v>
      </c>
      <c r="AQ136" s="32">
        <f t="shared" si="31"/>
        <v>78.408000000000001</v>
      </c>
      <c r="AR136" s="32">
        <f t="shared" si="31"/>
        <v>79.218000000000004</v>
      </c>
      <c r="AS136" s="32">
        <f t="shared" si="31"/>
        <v>80.028000000000006</v>
      </c>
      <c r="AT136" s="32">
        <f t="shared" si="31"/>
        <v>80.837999999999994</v>
      </c>
      <c r="AU136" s="32">
        <f t="shared" si="31"/>
        <v>81.647999999999996</v>
      </c>
      <c r="AV136" s="32">
        <f t="shared" si="31"/>
        <v>82.458000000000013</v>
      </c>
      <c r="AW136" s="32">
        <f t="shared" si="31"/>
        <v>83.268000000000001</v>
      </c>
      <c r="AX136" s="32">
        <f t="shared" si="31"/>
        <v>84.078000000000003</v>
      </c>
      <c r="AY136" s="32">
        <f t="shared" si="31"/>
        <v>84.887999999999991</v>
      </c>
      <c r="AZ136" s="32">
        <f t="shared" si="31"/>
        <v>85.698000000000008</v>
      </c>
      <c r="BA136" s="16"/>
    </row>
    <row r="137" spans="1:53" hidden="1" x14ac:dyDescent="0.25">
      <c r="A137" s="16"/>
      <c r="B137" s="31">
        <v>69</v>
      </c>
      <c r="C137" s="32">
        <f t="shared" si="29"/>
        <v>46.088999999999999</v>
      </c>
      <c r="D137" s="32">
        <f t="shared" si="29"/>
        <v>46.899000000000001</v>
      </c>
      <c r="E137" s="32">
        <f t="shared" si="29"/>
        <v>47.708999999999996</v>
      </c>
      <c r="F137" s="32">
        <f t="shared" si="29"/>
        <v>48.518999999999998</v>
      </c>
      <c r="G137" s="32">
        <f t="shared" si="29"/>
        <v>49.329000000000001</v>
      </c>
      <c r="H137" s="32">
        <f t="shared" si="29"/>
        <v>50.139000000000003</v>
      </c>
      <c r="I137" s="32">
        <f t="shared" si="29"/>
        <v>50.948999999999998</v>
      </c>
      <c r="J137" s="32">
        <f t="shared" si="29"/>
        <v>51.759</v>
      </c>
      <c r="K137" s="32">
        <f t="shared" si="29"/>
        <v>52.569000000000003</v>
      </c>
      <c r="L137" s="32">
        <f t="shared" si="29"/>
        <v>53.379000000000012</v>
      </c>
      <c r="M137" s="32">
        <f t="shared" si="29"/>
        <v>54.189000000000007</v>
      </c>
      <c r="N137" s="32">
        <f t="shared" si="29"/>
        <v>54.999000000000009</v>
      </c>
      <c r="O137" s="32">
        <f t="shared" si="29"/>
        <v>55.809000000000005</v>
      </c>
      <c r="P137" s="32">
        <f t="shared" si="29"/>
        <v>56.619000000000007</v>
      </c>
      <c r="Q137" s="32">
        <f t="shared" si="29"/>
        <v>57.429000000000009</v>
      </c>
      <c r="R137" s="32">
        <f t="shared" si="29"/>
        <v>58.239000000000011</v>
      </c>
      <c r="S137" s="32">
        <f t="shared" si="28"/>
        <v>59.049000000000014</v>
      </c>
      <c r="T137" s="186">
        <f t="shared" si="28"/>
        <v>59.859000000000009</v>
      </c>
      <c r="U137" s="32">
        <f t="shared" si="28"/>
        <v>60.669000000000011</v>
      </c>
      <c r="V137" s="32">
        <f t="shared" si="28"/>
        <v>61.479000000000006</v>
      </c>
      <c r="W137" s="32">
        <f t="shared" si="28"/>
        <v>62.289000000000009</v>
      </c>
      <c r="X137" s="32">
        <f t="shared" si="28"/>
        <v>63.099000000000011</v>
      </c>
      <c r="Y137" s="32">
        <f t="shared" si="28"/>
        <v>63.909000000000006</v>
      </c>
      <c r="Z137" s="32">
        <f t="shared" si="28"/>
        <v>64.719000000000008</v>
      </c>
      <c r="AA137" s="32">
        <f t="shared" si="28"/>
        <v>65.529000000000011</v>
      </c>
      <c r="AB137" s="32">
        <f t="shared" si="28"/>
        <v>66.339000000000013</v>
      </c>
      <c r="AC137" s="32">
        <f t="shared" si="28"/>
        <v>67.149000000000015</v>
      </c>
      <c r="AD137" s="32">
        <f t="shared" si="28"/>
        <v>67.959000000000003</v>
      </c>
      <c r="AE137" s="32">
        <f t="shared" si="28"/>
        <v>68.769000000000005</v>
      </c>
      <c r="AF137" s="32">
        <f t="shared" si="28"/>
        <v>69.579000000000008</v>
      </c>
      <c r="AG137" s="32">
        <f t="shared" si="28"/>
        <v>70.38900000000001</v>
      </c>
      <c r="AH137" s="32">
        <f t="shared" si="32"/>
        <v>71.199000000000012</v>
      </c>
      <c r="AI137" s="32">
        <f t="shared" si="32"/>
        <v>72.009</v>
      </c>
      <c r="AJ137" s="32">
        <f t="shared" si="32"/>
        <v>72.819000000000017</v>
      </c>
      <c r="AK137" s="32">
        <f t="shared" si="32"/>
        <v>73.629000000000005</v>
      </c>
      <c r="AL137" s="32">
        <f t="shared" si="32"/>
        <v>74.439000000000007</v>
      </c>
      <c r="AM137" s="32">
        <f t="shared" si="31"/>
        <v>75.249000000000009</v>
      </c>
      <c r="AN137" s="32">
        <f t="shared" si="31"/>
        <v>76.059000000000012</v>
      </c>
      <c r="AO137" s="32">
        <f t="shared" si="31"/>
        <v>76.869000000000014</v>
      </c>
      <c r="AP137" s="32">
        <f t="shared" si="31"/>
        <v>77.679000000000002</v>
      </c>
      <c r="AQ137" s="32">
        <f t="shared" si="31"/>
        <v>78.489000000000004</v>
      </c>
      <c r="AR137" s="32">
        <f t="shared" si="31"/>
        <v>79.299000000000021</v>
      </c>
      <c r="AS137" s="32">
        <f t="shared" si="31"/>
        <v>80.109000000000009</v>
      </c>
      <c r="AT137" s="32">
        <f t="shared" si="31"/>
        <v>80.919000000000011</v>
      </c>
      <c r="AU137" s="32">
        <f t="shared" si="31"/>
        <v>81.728999999999999</v>
      </c>
      <c r="AV137" s="32">
        <f t="shared" si="31"/>
        <v>82.539000000000016</v>
      </c>
      <c r="AW137" s="32">
        <f t="shared" si="31"/>
        <v>83.349000000000018</v>
      </c>
      <c r="AX137" s="32">
        <f t="shared" si="31"/>
        <v>84.159000000000006</v>
      </c>
      <c r="AY137" s="32">
        <f t="shared" si="31"/>
        <v>84.969000000000008</v>
      </c>
      <c r="AZ137" s="32">
        <f t="shared" si="31"/>
        <v>85.779000000000011</v>
      </c>
      <c r="BA137" s="16"/>
    </row>
    <row r="138" spans="1:53" hidden="1" x14ac:dyDescent="0.25">
      <c r="A138" s="16"/>
      <c r="B138" s="31">
        <v>70</v>
      </c>
      <c r="C138" s="32">
        <f t="shared" si="29"/>
        <v>46.17</v>
      </c>
      <c r="D138" s="32">
        <f t="shared" si="29"/>
        <v>46.980000000000004</v>
      </c>
      <c r="E138" s="32">
        <f t="shared" si="29"/>
        <v>47.79</v>
      </c>
      <c r="F138" s="32">
        <f t="shared" si="29"/>
        <v>48.6</v>
      </c>
      <c r="G138" s="32">
        <f t="shared" si="29"/>
        <v>49.41</v>
      </c>
      <c r="H138" s="32">
        <f t="shared" si="29"/>
        <v>50.220000000000006</v>
      </c>
      <c r="I138" s="32">
        <f t="shared" si="29"/>
        <v>51.03</v>
      </c>
      <c r="J138" s="32">
        <f t="shared" si="29"/>
        <v>51.84</v>
      </c>
      <c r="K138" s="32">
        <f t="shared" si="29"/>
        <v>52.65</v>
      </c>
      <c r="L138" s="32">
        <f t="shared" si="29"/>
        <v>53.46</v>
      </c>
      <c r="M138" s="32">
        <f t="shared" si="29"/>
        <v>54.27</v>
      </c>
      <c r="N138" s="32">
        <f t="shared" si="29"/>
        <v>55.080000000000005</v>
      </c>
      <c r="O138" s="32">
        <f t="shared" si="29"/>
        <v>55.89</v>
      </c>
      <c r="P138" s="32">
        <f t="shared" si="29"/>
        <v>56.7</v>
      </c>
      <c r="Q138" s="32">
        <f t="shared" si="29"/>
        <v>57.51</v>
      </c>
      <c r="R138" s="32">
        <f t="shared" si="29"/>
        <v>58.32</v>
      </c>
      <c r="S138" s="32">
        <f t="shared" si="28"/>
        <v>59.13</v>
      </c>
      <c r="T138" s="186">
        <f t="shared" si="28"/>
        <v>59.940000000000012</v>
      </c>
      <c r="U138" s="32">
        <f t="shared" si="28"/>
        <v>60.75</v>
      </c>
      <c r="V138" s="32">
        <f t="shared" si="28"/>
        <v>61.560000000000009</v>
      </c>
      <c r="W138" s="32">
        <f t="shared" si="28"/>
        <v>62.37</v>
      </c>
      <c r="X138" s="32">
        <f t="shared" si="28"/>
        <v>63.180000000000007</v>
      </c>
      <c r="Y138" s="32">
        <f t="shared" si="28"/>
        <v>63.990000000000009</v>
      </c>
      <c r="Z138" s="32">
        <f t="shared" si="28"/>
        <v>64.8</v>
      </c>
      <c r="AA138" s="32">
        <f t="shared" si="28"/>
        <v>65.610000000000014</v>
      </c>
      <c r="AB138" s="32">
        <f t="shared" si="28"/>
        <v>66.42</v>
      </c>
      <c r="AC138" s="32">
        <f t="shared" si="28"/>
        <v>67.23</v>
      </c>
      <c r="AD138" s="32">
        <f t="shared" si="28"/>
        <v>68.040000000000006</v>
      </c>
      <c r="AE138" s="32">
        <f t="shared" si="28"/>
        <v>68.850000000000009</v>
      </c>
      <c r="AF138" s="32">
        <f t="shared" si="28"/>
        <v>69.660000000000011</v>
      </c>
      <c r="AG138" s="32">
        <f t="shared" si="28"/>
        <v>70.47</v>
      </c>
      <c r="AH138" s="32">
        <f t="shared" si="32"/>
        <v>71.28</v>
      </c>
      <c r="AI138" s="32">
        <f t="shared" si="32"/>
        <v>72.09</v>
      </c>
      <c r="AJ138" s="32">
        <f t="shared" si="32"/>
        <v>72.900000000000006</v>
      </c>
      <c r="AK138" s="32">
        <f t="shared" si="32"/>
        <v>73.710000000000008</v>
      </c>
      <c r="AL138" s="32">
        <f t="shared" si="32"/>
        <v>74.52</v>
      </c>
      <c r="AM138" s="32">
        <f t="shared" si="31"/>
        <v>75.33</v>
      </c>
      <c r="AN138" s="32">
        <f t="shared" si="31"/>
        <v>76.140000000000015</v>
      </c>
      <c r="AO138" s="32">
        <f t="shared" si="31"/>
        <v>76.95</v>
      </c>
      <c r="AP138" s="32">
        <f t="shared" si="31"/>
        <v>77.760000000000005</v>
      </c>
      <c r="AQ138" s="32">
        <f t="shared" si="31"/>
        <v>78.569999999999993</v>
      </c>
      <c r="AR138" s="32">
        <f t="shared" si="31"/>
        <v>79.38000000000001</v>
      </c>
      <c r="AS138" s="32">
        <f t="shared" si="31"/>
        <v>80.190000000000012</v>
      </c>
      <c r="AT138" s="32">
        <f t="shared" si="31"/>
        <v>81</v>
      </c>
      <c r="AU138" s="32">
        <f t="shared" si="31"/>
        <v>81.81</v>
      </c>
      <c r="AV138" s="32">
        <f t="shared" si="31"/>
        <v>82.62</v>
      </c>
      <c r="AW138" s="32">
        <f t="shared" si="31"/>
        <v>83.43</v>
      </c>
      <c r="AX138" s="32">
        <f t="shared" si="31"/>
        <v>84.240000000000009</v>
      </c>
      <c r="AY138" s="32">
        <f t="shared" si="31"/>
        <v>85.05</v>
      </c>
      <c r="AZ138" s="32">
        <f t="shared" si="31"/>
        <v>85.860000000000014</v>
      </c>
      <c r="BA138" s="16"/>
    </row>
    <row r="139" spans="1:53" hidden="1" x14ac:dyDescent="0.25">
      <c r="A139" s="16"/>
      <c r="B139" s="31">
        <v>71</v>
      </c>
      <c r="C139" s="32">
        <f t="shared" si="29"/>
        <v>46.251000000000005</v>
      </c>
      <c r="D139" s="32">
        <f t="shared" si="29"/>
        <v>47.061</v>
      </c>
      <c r="E139" s="32">
        <f t="shared" si="29"/>
        <v>47.871000000000002</v>
      </c>
      <c r="F139" s="32">
        <f t="shared" si="29"/>
        <v>48.681000000000004</v>
      </c>
      <c r="G139" s="32">
        <f t="shared" si="29"/>
        <v>49.491</v>
      </c>
      <c r="H139" s="32">
        <f t="shared" si="29"/>
        <v>50.301000000000002</v>
      </c>
      <c r="I139" s="32">
        <f t="shared" si="29"/>
        <v>51.110999999999997</v>
      </c>
      <c r="J139" s="32">
        <f t="shared" si="29"/>
        <v>51.920999999999999</v>
      </c>
      <c r="K139" s="32">
        <f t="shared" si="29"/>
        <v>52.730999999999995</v>
      </c>
      <c r="L139" s="32">
        <f t="shared" si="29"/>
        <v>53.540999999999997</v>
      </c>
      <c r="M139" s="32">
        <f t="shared" si="29"/>
        <v>54.350999999999992</v>
      </c>
      <c r="N139" s="32">
        <f t="shared" si="29"/>
        <v>55.161000000000001</v>
      </c>
      <c r="O139" s="32">
        <f t="shared" si="29"/>
        <v>55.970999999999997</v>
      </c>
      <c r="P139" s="32">
        <f t="shared" si="29"/>
        <v>56.780999999999999</v>
      </c>
      <c r="Q139" s="32">
        <f t="shared" si="29"/>
        <v>57.590999999999994</v>
      </c>
      <c r="R139" s="32">
        <f t="shared" si="29"/>
        <v>58.401000000000003</v>
      </c>
      <c r="S139" s="32">
        <f t="shared" si="28"/>
        <v>59.210999999999991</v>
      </c>
      <c r="T139" s="186">
        <f t="shared" si="28"/>
        <v>60.021000000000001</v>
      </c>
      <c r="U139" s="32">
        <f t="shared" si="28"/>
        <v>60.831000000000003</v>
      </c>
      <c r="V139" s="32">
        <f t="shared" si="28"/>
        <v>61.640999999999998</v>
      </c>
      <c r="W139" s="32">
        <f t="shared" si="28"/>
        <v>62.451000000000001</v>
      </c>
      <c r="X139" s="32">
        <f t="shared" si="28"/>
        <v>63.260999999999996</v>
      </c>
      <c r="Y139" s="32">
        <f t="shared" si="28"/>
        <v>64.070999999999998</v>
      </c>
      <c r="Z139" s="32">
        <f t="shared" si="28"/>
        <v>64.881</v>
      </c>
      <c r="AA139" s="32">
        <f t="shared" si="28"/>
        <v>65.691000000000003</v>
      </c>
      <c r="AB139" s="32">
        <f t="shared" si="28"/>
        <v>66.501000000000005</v>
      </c>
      <c r="AC139" s="32">
        <f t="shared" si="28"/>
        <v>67.310999999999993</v>
      </c>
      <c r="AD139" s="32">
        <f t="shared" si="28"/>
        <v>68.120999999999995</v>
      </c>
      <c r="AE139" s="32">
        <f t="shared" si="28"/>
        <v>68.931000000000012</v>
      </c>
      <c r="AF139" s="32">
        <f t="shared" si="28"/>
        <v>69.741</v>
      </c>
      <c r="AG139" s="32">
        <f t="shared" si="28"/>
        <v>70.551000000000002</v>
      </c>
      <c r="AH139" s="32">
        <f t="shared" si="32"/>
        <v>71.36099999999999</v>
      </c>
      <c r="AI139" s="32">
        <f t="shared" si="32"/>
        <v>72.171000000000006</v>
      </c>
      <c r="AJ139" s="32">
        <f t="shared" si="32"/>
        <v>72.981000000000009</v>
      </c>
      <c r="AK139" s="32">
        <f t="shared" si="32"/>
        <v>73.790999999999997</v>
      </c>
      <c r="AL139" s="32">
        <f t="shared" si="32"/>
        <v>74.600999999999999</v>
      </c>
      <c r="AM139" s="32">
        <f t="shared" si="31"/>
        <v>75.411000000000001</v>
      </c>
      <c r="AN139" s="32">
        <f t="shared" si="31"/>
        <v>76.221000000000004</v>
      </c>
      <c r="AO139" s="32">
        <f t="shared" si="31"/>
        <v>77.031000000000006</v>
      </c>
      <c r="AP139" s="32">
        <f t="shared" si="31"/>
        <v>77.840999999999994</v>
      </c>
      <c r="AQ139" s="32">
        <f t="shared" si="31"/>
        <v>78.650999999999996</v>
      </c>
      <c r="AR139" s="32">
        <f t="shared" si="31"/>
        <v>79.460999999999999</v>
      </c>
      <c r="AS139" s="32">
        <f t="shared" si="31"/>
        <v>80.271000000000001</v>
      </c>
      <c r="AT139" s="32">
        <f t="shared" si="31"/>
        <v>81.081000000000003</v>
      </c>
      <c r="AU139" s="32">
        <f t="shared" si="31"/>
        <v>81.890999999999991</v>
      </c>
      <c r="AV139" s="32">
        <f t="shared" si="31"/>
        <v>82.701000000000008</v>
      </c>
      <c r="AW139" s="32">
        <f t="shared" si="31"/>
        <v>83.510999999999996</v>
      </c>
      <c r="AX139" s="32">
        <f t="shared" si="31"/>
        <v>84.320999999999998</v>
      </c>
      <c r="AY139" s="32">
        <f t="shared" si="31"/>
        <v>85.131</v>
      </c>
      <c r="AZ139" s="32">
        <f t="shared" si="31"/>
        <v>85.941000000000003</v>
      </c>
      <c r="BA139" s="16"/>
    </row>
    <row r="140" spans="1:53" hidden="1" x14ac:dyDescent="0.25">
      <c r="A140" s="16"/>
      <c r="B140" s="31">
        <v>72</v>
      </c>
      <c r="C140" s="32">
        <f t="shared" si="29"/>
        <v>46.332000000000008</v>
      </c>
      <c r="D140" s="32">
        <f t="shared" si="29"/>
        <v>47.142000000000003</v>
      </c>
      <c r="E140" s="32">
        <f t="shared" si="29"/>
        <v>47.952000000000005</v>
      </c>
      <c r="F140" s="32">
        <f t="shared" si="29"/>
        <v>48.762000000000008</v>
      </c>
      <c r="G140" s="32">
        <f t="shared" si="29"/>
        <v>49.572000000000003</v>
      </c>
      <c r="H140" s="32">
        <f t="shared" si="29"/>
        <v>50.382000000000005</v>
      </c>
      <c r="I140" s="32">
        <f t="shared" si="29"/>
        <v>51.192</v>
      </c>
      <c r="J140" s="32">
        <f t="shared" si="29"/>
        <v>52.002000000000002</v>
      </c>
      <c r="K140" s="32">
        <f t="shared" si="29"/>
        <v>52.812000000000005</v>
      </c>
      <c r="L140" s="32">
        <f t="shared" si="29"/>
        <v>53.622000000000007</v>
      </c>
      <c r="M140" s="32">
        <f t="shared" si="29"/>
        <v>54.432000000000002</v>
      </c>
      <c r="N140" s="32">
        <f t="shared" si="29"/>
        <v>55.242000000000004</v>
      </c>
      <c r="O140" s="32">
        <f t="shared" si="29"/>
        <v>56.052</v>
      </c>
      <c r="P140" s="32">
        <f t="shared" si="29"/>
        <v>56.862000000000009</v>
      </c>
      <c r="Q140" s="32">
        <f t="shared" si="29"/>
        <v>57.671999999999997</v>
      </c>
      <c r="R140" s="32">
        <f t="shared" si="29"/>
        <v>58.482000000000006</v>
      </c>
      <c r="S140" s="32">
        <f t="shared" si="28"/>
        <v>59.292000000000009</v>
      </c>
      <c r="T140" s="186">
        <f t="shared" si="28"/>
        <v>60.102000000000004</v>
      </c>
      <c r="U140" s="32">
        <f t="shared" si="28"/>
        <v>60.912000000000006</v>
      </c>
      <c r="V140" s="32">
        <f t="shared" si="28"/>
        <v>61.722000000000001</v>
      </c>
      <c r="W140" s="32">
        <f t="shared" si="28"/>
        <v>62.532000000000004</v>
      </c>
      <c r="X140" s="32">
        <f t="shared" si="28"/>
        <v>63.342000000000013</v>
      </c>
      <c r="Y140" s="32">
        <f t="shared" si="28"/>
        <v>64.152000000000001</v>
      </c>
      <c r="Z140" s="32">
        <f t="shared" si="28"/>
        <v>64.962000000000003</v>
      </c>
      <c r="AA140" s="32">
        <f t="shared" si="28"/>
        <v>65.772000000000006</v>
      </c>
      <c r="AB140" s="32">
        <f t="shared" si="28"/>
        <v>66.582000000000008</v>
      </c>
      <c r="AC140" s="32">
        <f t="shared" si="28"/>
        <v>67.39200000000001</v>
      </c>
      <c r="AD140" s="32">
        <f t="shared" si="28"/>
        <v>68.201999999999998</v>
      </c>
      <c r="AE140" s="32">
        <f t="shared" si="28"/>
        <v>69.012000000000015</v>
      </c>
      <c r="AF140" s="32">
        <f t="shared" si="28"/>
        <v>69.822000000000003</v>
      </c>
      <c r="AG140" s="32">
        <f t="shared" si="28"/>
        <v>70.632000000000005</v>
      </c>
      <c r="AH140" s="32">
        <f t="shared" si="32"/>
        <v>71.442000000000007</v>
      </c>
      <c r="AI140" s="32">
        <f t="shared" si="32"/>
        <v>72.25200000000001</v>
      </c>
      <c r="AJ140" s="32">
        <f t="shared" si="32"/>
        <v>73.062000000000012</v>
      </c>
      <c r="AK140" s="32">
        <f t="shared" si="32"/>
        <v>73.872</v>
      </c>
      <c r="AL140" s="32">
        <f t="shared" si="32"/>
        <v>74.682000000000002</v>
      </c>
      <c r="AM140" s="32">
        <f t="shared" si="31"/>
        <v>75.492000000000004</v>
      </c>
      <c r="AN140" s="32">
        <f t="shared" si="31"/>
        <v>76.302000000000007</v>
      </c>
      <c r="AO140" s="32">
        <f t="shared" si="31"/>
        <v>77.112000000000009</v>
      </c>
      <c r="AP140" s="32">
        <f t="shared" si="31"/>
        <v>77.921999999999997</v>
      </c>
      <c r="AQ140" s="32">
        <f t="shared" si="31"/>
        <v>78.731999999999999</v>
      </c>
      <c r="AR140" s="32">
        <f t="shared" si="31"/>
        <v>79.542000000000016</v>
      </c>
      <c r="AS140" s="32">
        <f t="shared" si="31"/>
        <v>80.352000000000004</v>
      </c>
      <c r="AT140" s="32">
        <f t="shared" si="31"/>
        <v>81.162000000000006</v>
      </c>
      <c r="AU140" s="32">
        <f t="shared" si="31"/>
        <v>81.971999999999994</v>
      </c>
      <c r="AV140" s="32">
        <f t="shared" si="31"/>
        <v>82.782000000000011</v>
      </c>
      <c r="AW140" s="32">
        <f t="shared" si="31"/>
        <v>83.592000000000013</v>
      </c>
      <c r="AX140" s="32">
        <f t="shared" si="31"/>
        <v>84.402000000000001</v>
      </c>
      <c r="AY140" s="32">
        <f t="shared" si="31"/>
        <v>85.212000000000003</v>
      </c>
      <c r="AZ140" s="32">
        <f t="shared" si="31"/>
        <v>86.022000000000006</v>
      </c>
      <c r="BA140" s="16"/>
    </row>
    <row r="141" spans="1:53" hidden="1" x14ac:dyDescent="0.25">
      <c r="A141" s="16"/>
      <c r="B141" s="31">
        <v>73</v>
      </c>
      <c r="C141" s="32">
        <f t="shared" si="29"/>
        <v>46.413000000000004</v>
      </c>
      <c r="D141" s="32">
        <f t="shared" si="29"/>
        <v>47.222999999999999</v>
      </c>
      <c r="E141" s="32">
        <f t="shared" si="29"/>
        <v>48.033000000000001</v>
      </c>
      <c r="F141" s="32">
        <f t="shared" si="29"/>
        <v>48.842999999999996</v>
      </c>
      <c r="G141" s="32">
        <f t="shared" si="29"/>
        <v>49.653000000000006</v>
      </c>
      <c r="H141" s="32">
        <f t="shared" si="29"/>
        <v>50.463000000000001</v>
      </c>
      <c r="I141" s="32">
        <f t="shared" si="29"/>
        <v>51.273000000000003</v>
      </c>
      <c r="J141" s="32">
        <f t="shared" si="29"/>
        <v>52.082999999999998</v>
      </c>
      <c r="K141" s="32">
        <f t="shared" si="29"/>
        <v>52.893000000000001</v>
      </c>
      <c r="L141" s="32">
        <f t="shared" si="29"/>
        <v>53.703000000000003</v>
      </c>
      <c r="M141" s="32">
        <f t="shared" si="29"/>
        <v>54.512999999999998</v>
      </c>
      <c r="N141" s="32">
        <f t="shared" si="29"/>
        <v>55.323</v>
      </c>
      <c r="O141" s="32">
        <f t="shared" si="29"/>
        <v>56.132999999999996</v>
      </c>
      <c r="P141" s="32">
        <f t="shared" si="29"/>
        <v>56.942999999999998</v>
      </c>
      <c r="Q141" s="32">
        <f t="shared" si="29"/>
        <v>57.753</v>
      </c>
      <c r="R141" s="32">
        <f t="shared" ref="R141:AG148" si="33">(R$16-100+$B141/10)*0.9*0.9</f>
        <v>58.562999999999995</v>
      </c>
      <c r="S141" s="32">
        <f t="shared" si="33"/>
        <v>59.372999999999998</v>
      </c>
      <c r="T141" s="186">
        <f t="shared" si="33"/>
        <v>60.183000000000007</v>
      </c>
      <c r="U141" s="32">
        <f t="shared" si="33"/>
        <v>60.992999999999995</v>
      </c>
      <c r="V141" s="32">
        <f t="shared" si="33"/>
        <v>61.803000000000004</v>
      </c>
      <c r="W141" s="32">
        <f t="shared" si="33"/>
        <v>62.612999999999992</v>
      </c>
      <c r="X141" s="32">
        <f t="shared" si="33"/>
        <v>63.423000000000002</v>
      </c>
      <c r="Y141" s="32">
        <f t="shared" si="33"/>
        <v>64.233000000000004</v>
      </c>
      <c r="Z141" s="32">
        <f t="shared" si="33"/>
        <v>65.042999999999992</v>
      </c>
      <c r="AA141" s="32">
        <f t="shared" si="33"/>
        <v>65.853000000000009</v>
      </c>
      <c r="AB141" s="32">
        <f t="shared" si="33"/>
        <v>66.662999999999997</v>
      </c>
      <c r="AC141" s="32">
        <f t="shared" si="33"/>
        <v>67.472999999999999</v>
      </c>
      <c r="AD141" s="32">
        <f t="shared" si="33"/>
        <v>68.283000000000001</v>
      </c>
      <c r="AE141" s="32">
        <f t="shared" si="33"/>
        <v>69.093000000000004</v>
      </c>
      <c r="AF141" s="32">
        <f t="shared" si="33"/>
        <v>69.903000000000006</v>
      </c>
      <c r="AG141" s="32">
        <f t="shared" si="33"/>
        <v>70.712999999999994</v>
      </c>
      <c r="AH141" s="32">
        <f t="shared" si="32"/>
        <v>71.522999999999996</v>
      </c>
      <c r="AI141" s="32">
        <f t="shared" si="32"/>
        <v>72.333000000000013</v>
      </c>
      <c r="AJ141" s="32">
        <f t="shared" si="32"/>
        <v>73.143000000000001</v>
      </c>
      <c r="AK141" s="32">
        <f t="shared" si="32"/>
        <v>73.953000000000003</v>
      </c>
      <c r="AL141" s="32">
        <f t="shared" si="32"/>
        <v>74.762999999999991</v>
      </c>
      <c r="AM141" s="32">
        <f t="shared" si="31"/>
        <v>75.573000000000008</v>
      </c>
      <c r="AN141" s="32">
        <f t="shared" si="31"/>
        <v>76.38300000000001</v>
      </c>
      <c r="AO141" s="32">
        <f t="shared" si="31"/>
        <v>77.192999999999998</v>
      </c>
      <c r="AP141" s="32">
        <f t="shared" si="31"/>
        <v>78.003</v>
      </c>
      <c r="AQ141" s="32">
        <f t="shared" si="31"/>
        <v>78.813000000000002</v>
      </c>
      <c r="AR141" s="32">
        <f t="shared" si="31"/>
        <v>79.623000000000005</v>
      </c>
      <c r="AS141" s="32">
        <f t="shared" si="31"/>
        <v>80.433000000000007</v>
      </c>
      <c r="AT141" s="32">
        <f t="shared" si="31"/>
        <v>81.242999999999995</v>
      </c>
      <c r="AU141" s="32">
        <f t="shared" si="31"/>
        <v>82.052999999999997</v>
      </c>
      <c r="AV141" s="32">
        <f t="shared" si="31"/>
        <v>82.863</v>
      </c>
      <c r="AW141" s="32">
        <f t="shared" si="31"/>
        <v>83.673000000000002</v>
      </c>
      <c r="AX141" s="32">
        <f t="shared" si="31"/>
        <v>84.483000000000004</v>
      </c>
      <c r="AY141" s="32">
        <f t="shared" si="31"/>
        <v>85.292999999999992</v>
      </c>
      <c r="AZ141" s="32">
        <f t="shared" si="31"/>
        <v>86.103000000000009</v>
      </c>
      <c r="BA141" s="16"/>
    </row>
    <row r="142" spans="1:53" hidden="1" x14ac:dyDescent="0.25">
      <c r="A142" s="16"/>
      <c r="B142" s="31">
        <v>74</v>
      </c>
      <c r="C142" s="32">
        <f t="shared" ref="C142:R148" si="34">(C$16-100+$B142/10)*0.9*0.9</f>
        <v>46.494</v>
      </c>
      <c r="D142" s="32">
        <f t="shared" si="34"/>
        <v>47.304000000000002</v>
      </c>
      <c r="E142" s="32">
        <f t="shared" si="34"/>
        <v>48.114000000000004</v>
      </c>
      <c r="F142" s="32">
        <f t="shared" si="34"/>
        <v>48.923999999999999</v>
      </c>
      <c r="G142" s="32">
        <f t="shared" si="34"/>
        <v>49.734000000000002</v>
      </c>
      <c r="H142" s="32">
        <f t="shared" si="34"/>
        <v>50.543999999999997</v>
      </c>
      <c r="I142" s="32">
        <f t="shared" si="34"/>
        <v>51.354000000000006</v>
      </c>
      <c r="J142" s="32">
        <f t="shared" si="34"/>
        <v>52.164000000000009</v>
      </c>
      <c r="K142" s="32">
        <f t="shared" si="34"/>
        <v>52.974000000000004</v>
      </c>
      <c r="L142" s="32">
        <f t="shared" si="34"/>
        <v>53.784000000000006</v>
      </c>
      <c r="M142" s="32">
        <f t="shared" si="34"/>
        <v>54.594000000000001</v>
      </c>
      <c r="N142" s="32">
        <f t="shared" si="34"/>
        <v>55.404000000000011</v>
      </c>
      <c r="O142" s="32">
        <f t="shared" si="34"/>
        <v>56.214000000000006</v>
      </c>
      <c r="P142" s="32">
        <f t="shared" si="34"/>
        <v>57.024000000000008</v>
      </c>
      <c r="Q142" s="32">
        <f t="shared" si="34"/>
        <v>57.834000000000003</v>
      </c>
      <c r="R142" s="32">
        <f t="shared" si="34"/>
        <v>58.644000000000013</v>
      </c>
      <c r="S142" s="32">
        <f t="shared" si="33"/>
        <v>59.454000000000001</v>
      </c>
      <c r="T142" s="186">
        <f t="shared" si="33"/>
        <v>60.26400000000001</v>
      </c>
      <c r="U142" s="32">
        <f t="shared" si="33"/>
        <v>61.074000000000012</v>
      </c>
      <c r="V142" s="32">
        <f t="shared" si="33"/>
        <v>61.884000000000007</v>
      </c>
      <c r="W142" s="32">
        <f t="shared" si="33"/>
        <v>62.69400000000001</v>
      </c>
      <c r="X142" s="32">
        <f t="shared" si="33"/>
        <v>63.504000000000005</v>
      </c>
      <c r="Y142" s="32">
        <f t="shared" si="33"/>
        <v>64.314000000000007</v>
      </c>
      <c r="Z142" s="32">
        <f t="shared" si="33"/>
        <v>65.124000000000009</v>
      </c>
      <c r="AA142" s="32">
        <f t="shared" si="33"/>
        <v>65.934000000000012</v>
      </c>
      <c r="AB142" s="32">
        <f t="shared" si="33"/>
        <v>66.744000000000014</v>
      </c>
      <c r="AC142" s="32">
        <f t="shared" si="33"/>
        <v>67.554000000000002</v>
      </c>
      <c r="AD142" s="32">
        <f t="shared" si="33"/>
        <v>68.364000000000004</v>
      </c>
      <c r="AE142" s="32">
        <f t="shared" si="33"/>
        <v>69.174000000000021</v>
      </c>
      <c r="AF142" s="32">
        <f t="shared" si="33"/>
        <v>69.984000000000009</v>
      </c>
      <c r="AG142" s="32">
        <f t="shared" si="33"/>
        <v>70.794000000000011</v>
      </c>
      <c r="AH142" s="32">
        <f t="shared" si="32"/>
        <v>71.603999999999999</v>
      </c>
      <c r="AI142" s="32">
        <f t="shared" si="32"/>
        <v>72.414000000000016</v>
      </c>
      <c r="AJ142" s="32">
        <f t="shared" si="32"/>
        <v>73.224000000000018</v>
      </c>
      <c r="AK142" s="32">
        <f t="shared" si="32"/>
        <v>74.034000000000006</v>
      </c>
      <c r="AL142" s="32">
        <f t="shared" si="32"/>
        <v>74.844000000000008</v>
      </c>
      <c r="AM142" s="32">
        <f t="shared" si="31"/>
        <v>75.654000000000011</v>
      </c>
      <c r="AN142" s="32">
        <f t="shared" si="31"/>
        <v>76.464000000000013</v>
      </c>
      <c r="AO142" s="32">
        <f t="shared" si="31"/>
        <v>77.274000000000015</v>
      </c>
      <c r="AP142" s="32">
        <f t="shared" si="31"/>
        <v>78.084000000000003</v>
      </c>
      <c r="AQ142" s="32">
        <f t="shared" si="31"/>
        <v>78.894000000000005</v>
      </c>
      <c r="AR142" s="32">
        <f t="shared" si="31"/>
        <v>79.704000000000008</v>
      </c>
      <c r="AS142" s="32">
        <f t="shared" si="31"/>
        <v>80.51400000000001</v>
      </c>
      <c r="AT142" s="32">
        <f t="shared" si="31"/>
        <v>81.324000000000012</v>
      </c>
      <c r="AU142" s="32">
        <f t="shared" si="31"/>
        <v>82.134</v>
      </c>
      <c r="AV142" s="32">
        <f t="shared" si="31"/>
        <v>82.944000000000017</v>
      </c>
      <c r="AW142" s="32">
        <f t="shared" si="31"/>
        <v>83.754000000000005</v>
      </c>
      <c r="AX142" s="32">
        <f t="shared" si="31"/>
        <v>84.564000000000007</v>
      </c>
      <c r="AY142" s="32">
        <f t="shared" si="31"/>
        <v>85.374000000000009</v>
      </c>
      <c r="AZ142" s="32">
        <f t="shared" si="31"/>
        <v>86.184000000000012</v>
      </c>
      <c r="BA142" s="16"/>
    </row>
    <row r="143" spans="1:53" hidden="1" x14ac:dyDescent="0.25">
      <c r="A143" s="16"/>
      <c r="B143" s="31">
        <v>75</v>
      </c>
      <c r="C143" s="32">
        <f t="shared" si="34"/>
        <v>46.575000000000003</v>
      </c>
      <c r="D143" s="32">
        <f t="shared" si="34"/>
        <v>47.384999999999998</v>
      </c>
      <c r="E143" s="32">
        <f t="shared" si="34"/>
        <v>48.195000000000007</v>
      </c>
      <c r="F143" s="32">
        <f t="shared" si="34"/>
        <v>49.005000000000003</v>
      </c>
      <c r="G143" s="32">
        <f t="shared" si="34"/>
        <v>49.815000000000005</v>
      </c>
      <c r="H143" s="32">
        <f t="shared" si="34"/>
        <v>50.625</v>
      </c>
      <c r="I143" s="32">
        <f t="shared" si="34"/>
        <v>51.435000000000002</v>
      </c>
      <c r="J143" s="32">
        <f t="shared" si="34"/>
        <v>52.245000000000005</v>
      </c>
      <c r="K143" s="32">
        <f t="shared" si="34"/>
        <v>53.055000000000007</v>
      </c>
      <c r="L143" s="32">
        <f t="shared" si="34"/>
        <v>53.865000000000002</v>
      </c>
      <c r="M143" s="32">
        <f t="shared" si="34"/>
        <v>54.675000000000004</v>
      </c>
      <c r="N143" s="32">
        <f t="shared" si="34"/>
        <v>55.484999999999999</v>
      </c>
      <c r="O143" s="32">
        <f t="shared" si="34"/>
        <v>56.295000000000002</v>
      </c>
      <c r="P143" s="32">
        <f t="shared" si="34"/>
        <v>57.105000000000004</v>
      </c>
      <c r="Q143" s="32">
        <f t="shared" si="34"/>
        <v>57.915000000000006</v>
      </c>
      <c r="R143" s="32">
        <f t="shared" si="34"/>
        <v>58.725000000000001</v>
      </c>
      <c r="S143" s="32">
        <f t="shared" si="33"/>
        <v>59.535000000000004</v>
      </c>
      <c r="T143" s="186">
        <f t="shared" si="33"/>
        <v>60.344999999999999</v>
      </c>
      <c r="U143" s="32">
        <f t="shared" si="33"/>
        <v>61.155000000000001</v>
      </c>
      <c r="V143" s="32">
        <f t="shared" si="33"/>
        <v>61.965000000000011</v>
      </c>
      <c r="W143" s="32">
        <f t="shared" si="33"/>
        <v>62.774999999999999</v>
      </c>
      <c r="X143" s="32">
        <f t="shared" si="33"/>
        <v>63.585000000000008</v>
      </c>
      <c r="Y143" s="32">
        <f t="shared" si="33"/>
        <v>64.394999999999996</v>
      </c>
      <c r="Z143" s="32">
        <f t="shared" si="33"/>
        <v>65.204999999999998</v>
      </c>
      <c r="AA143" s="32">
        <f t="shared" si="33"/>
        <v>66.015000000000015</v>
      </c>
      <c r="AB143" s="32">
        <f t="shared" si="33"/>
        <v>66.825000000000003</v>
      </c>
      <c r="AC143" s="32">
        <f t="shared" si="33"/>
        <v>67.635000000000005</v>
      </c>
      <c r="AD143" s="32">
        <f t="shared" si="33"/>
        <v>68.444999999999993</v>
      </c>
      <c r="AE143" s="32">
        <f t="shared" si="33"/>
        <v>69.25500000000001</v>
      </c>
      <c r="AF143" s="32">
        <f t="shared" si="33"/>
        <v>70.065000000000012</v>
      </c>
      <c r="AG143" s="32">
        <f t="shared" si="33"/>
        <v>70.875</v>
      </c>
      <c r="AH143" s="32">
        <f t="shared" si="32"/>
        <v>71.685000000000002</v>
      </c>
      <c r="AI143" s="32">
        <f t="shared" si="32"/>
        <v>72.495000000000005</v>
      </c>
      <c r="AJ143" s="32">
        <f t="shared" si="32"/>
        <v>73.305000000000007</v>
      </c>
      <c r="AK143" s="32">
        <f t="shared" si="32"/>
        <v>74.115000000000009</v>
      </c>
      <c r="AL143" s="32">
        <f t="shared" si="32"/>
        <v>74.924999999999997</v>
      </c>
      <c r="AM143" s="32">
        <f t="shared" si="31"/>
        <v>75.735000000000014</v>
      </c>
      <c r="AN143" s="32">
        <f t="shared" si="31"/>
        <v>76.545000000000002</v>
      </c>
      <c r="AO143" s="32">
        <f t="shared" si="31"/>
        <v>77.355000000000004</v>
      </c>
      <c r="AP143" s="32">
        <f t="shared" si="31"/>
        <v>78.165000000000006</v>
      </c>
      <c r="AQ143" s="32">
        <f t="shared" si="31"/>
        <v>78.975000000000009</v>
      </c>
      <c r="AR143" s="32">
        <f t="shared" si="31"/>
        <v>79.785000000000011</v>
      </c>
      <c r="AS143" s="32">
        <f t="shared" si="31"/>
        <v>80.594999999999999</v>
      </c>
      <c r="AT143" s="32">
        <f t="shared" si="31"/>
        <v>81.405000000000001</v>
      </c>
      <c r="AU143" s="32">
        <f t="shared" si="31"/>
        <v>82.215000000000003</v>
      </c>
      <c r="AV143" s="32">
        <f t="shared" si="31"/>
        <v>83.025000000000006</v>
      </c>
      <c r="AW143" s="32">
        <f t="shared" si="31"/>
        <v>83.835000000000008</v>
      </c>
      <c r="AX143" s="32">
        <f t="shared" si="31"/>
        <v>84.644999999999996</v>
      </c>
      <c r="AY143" s="32">
        <f t="shared" si="31"/>
        <v>85.454999999999998</v>
      </c>
      <c r="AZ143" s="32">
        <f t="shared" si="31"/>
        <v>86.265000000000015</v>
      </c>
      <c r="BA143" s="16"/>
    </row>
    <row r="144" spans="1:53" hidden="1" x14ac:dyDescent="0.25">
      <c r="A144" s="16"/>
      <c r="B144" s="31">
        <v>76</v>
      </c>
      <c r="C144" s="32">
        <f t="shared" si="34"/>
        <v>46.656000000000006</v>
      </c>
      <c r="D144" s="32">
        <f t="shared" si="34"/>
        <v>47.466000000000001</v>
      </c>
      <c r="E144" s="32">
        <f t="shared" si="34"/>
        <v>48.276000000000003</v>
      </c>
      <c r="F144" s="32">
        <f t="shared" si="34"/>
        <v>49.085999999999999</v>
      </c>
      <c r="G144" s="32">
        <f t="shared" si="34"/>
        <v>49.896000000000008</v>
      </c>
      <c r="H144" s="32">
        <f t="shared" si="34"/>
        <v>50.706000000000003</v>
      </c>
      <c r="I144" s="32">
        <f t="shared" si="34"/>
        <v>51.516000000000005</v>
      </c>
      <c r="J144" s="32">
        <f t="shared" si="34"/>
        <v>52.325999999999993</v>
      </c>
      <c r="K144" s="32">
        <f t="shared" si="34"/>
        <v>53.136000000000003</v>
      </c>
      <c r="L144" s="32">
        <f t="shared" si="34"/>
        <v>53.945999999999998</v>
      </c>
      <c r="M144" s="32">
        <f t="shared" si="34"/>
        <v>54.756</v>
      </c>
      <c r="N144" s="32">
        <f t="shared" si="34"/>
        <v>55.565999999999995</v>
      </c>
      <c r="O144" s="32">
        <f t="shared" si="34"/>
        <v>56.375999999999998</v>
      </c>
      <c r="P144" s="32">
        <f t="shared" si="34"/>
        <v>57.186</v>
      </c>
      <c r="Q144" s="32">
        <f t="shared" si="34"/>
        <v>57.996000000000002</v>
      </c>
      <c r="R144" s="32">
        <f t="shared" si="34"/>
        <v>58.806000000000004</v>
      </c>
      <c r="S144" s="32">
        <f t="shared" si="33"/>
        <v>59.616</v>
      </c>
      <c r="T144" s="186">
        <f t="shared" si="33"/>
        <v>60.426000000000002</v>
      </c>
      <c r="U144" s="32">
        <f t="shared" si="33"/>
        <v>61.235999999999997</v>
      </c>
      <c r="V144" s="32">
        <f t="shared" si="33"/>
        <v>62.045999999999999</v>
      </c>
      <c r="W144" s="32">
        <f t="shared" si="33"/>
        <v>62.856000000000002</v>
      </c>
      <c r="X144" s="32">
        <f t="shared" si="33"/>
        <v>63.665999999999997</v>
      </c>
      <c r="Y144" s="32">
        <f t="shared" si="33"/>
        <v>64.475999999999999</v>
      </c>
      <c r="Z144" s="32">
        <f t="shared" si="33"/>
        <v>65.286000000000001</v>
      </c>
      <c r="AA144" s="32">
        <f t="shared" si="33"/>
        <v>66.096000000000004</v>
      </c>
      <c r="AB144" s="32">
        <f t="shared" si="33"/>
        <v>66.906000000000006</v>
      </c>
      <c r="AC144" s="32">
        <f t="shared" si="33"/>
        <v>67.715999999999994</v>
      </c>
      <c r="AD144" s="32">
        <f t="shared" si="33"/>
        <v>68.525999999999996</v>
      </c>
      <c r="AE144" s="32">
        <f t="shared" si="33"/>
        <v>69.335999999999999</v>
      </c>
      <c r="AF144" s="32">
        <f t="shared" si="33"/>
        <v>70.146000000000001</v>
      </c>
      <c r="AG144" s="32">
        <f t="shared" si="33"/>
        <v>70.956000000000003</v>
      </c>
      <c r="AH144" s="32">
        <f t="shared" si="32"/>
        <v>71.765999999999991</v>
      </c>
      <c r="AI144" s="32">
        <f t="shared" si="32"/>
        <v>72.576000000000008</v>
      </c>
      <c r="AJ144" s="32">
        <f t="shared" si="32"/>
        <v>73.385999999999996</v>
      </c>
      <c r="AK144" s="32">
        <f t="shared" si="32"/>
        <v>74.195999999999998</v>
      </c>
      <c r="AL144" s="32">
        <f t="shared" si="32"/>
        <v>75.006</v>
      </c>
      <c r="AM144" s="32">
        <f t="shared" si="31"/>
        <v>75.816000000000003</v>
      </c>
      <c r="AN144" s="32">
        <f t="shared" si="31"/>
        <v>76.626000000000005</v>
      </c>
      <c r="AO144" s="32">
        <f t="shared" si="31"/>
        <v>77.435999999999993</v>
      </c>
      <c r="AP144" s="32">
        <f t="shared" si="31"/>
        <v>78.245999999999995</v>
      </c>
      <c r="AQ144" s="32">
        <f t="shared" si="31"/>
        <v>79.056000000000012</v>
      </c>
      <c r="AR144" s="32">
        <f t="shared" si="31"/>
        <v>79.866</v>
      </c>
      <c r="AS144" s="32">
        <f t="shared" si="31"/>
        <v>80.676000000000002</v>
      </c>
      <c r="AT144" s="32">
        <f t="shared" si="31"/>
        <v>81.48599999999999</v>
      </c>
      <c r="AU144" s="32">
        <f t="shared" si="31"/>
        <v>82.296000000000006</v>
      </c>
      <c r="AV144" s="32">
        <f t="shared" si="31"/>
        <v>83.106000000000009</v>
      </c>
      <c r="AW144" s="32">
        <f t="shared" si="31"/>
        <v>83.915999999999997</v>
      </c>
      <c r="AX144" s="32">
        <f t="shared" si="31"/>
        <v>84.725999999999999</v>
      </c>
      <c r="AY144" s="32">
        <f t="shared" si="31"/>
        <v>85.536000000000001</v>
      </c>
      <c r="AZ144" s="32">
        <f t="shared" si="31"/>
        <v>86.346000000000004</v>
      </c>
      <c r="BA144" s="16"/>
    </row>
    <row r="145" spans="1:53" hidden="1" x14ac:dyDescent="0.25">
      <c r="A145" s="16"/>
      <c r="B145" s="31">
        <v>77</v>
      </c>
      <c r="C145" s="32">
        <f t="shared" si="34"/>
        <v>46.737000000000009</v>
      </c>
      <c r="D145" s="32">
        <f t="shared" si="34"/>
        <v>47.547000000000004</v>
      </c>
      <c r="E145" s="32">
        <f t="shared" si="34"/>
        <v>48.357000000000006</v>
      </c>
      <c r="F145" s="32">
        <f t="shared" si="34"/>
        <v>49.167000000000002</v>
      </c>
      <c r="G145" s="32">
        <f t="shared" si="34"/>
        <v>49.977000000000004</v>
      </c>
      <c r="H145" s="32">
        <f t="shared" si="34"/>
        <v>50.787000000000006</v>
      </c>
      <c r="I145" s="32">
        <f t="shared" si="34"/>
        <v>51.597000000000008</v>
      </c>
      <c r="J145" s="32">
        <f t="shared" si="34"/>
        <v>52.407000000000004</v>
      </c>
      <c r="K145" s="32">
        <f t="shared" si="34"/>
        <v>53.217000000000006</v>
      </c>
      <c r="L145" s="32">
        <f t="shared" si="34"/>
        <v>54.027000000000001</v>
      </c>
      <c r="M145" s="32">
        <f t="shared" si="34"/>
        <v>54.83700000000001</v>
      </c>
      <c r="N145" s="32">
        <f t="shared" si="34"/>
        <v>55.647000000000006</v>
      </c>
      <c r="O145" s="32">
        <f t="shared" si="34"/>
        <v>56.457000000000008</v>
      </c>
      <c r="P145" s="32">
        <f t="shared" si="34"/>
        <v>57.267000000000003</v>
      </c>
      <c r="Q145" s="32">
        <f t="shared" si="34"/>
        <v>58.077000000000005</v>
      </c>
      <c r="R145" s="32">
        <f t="shared" si="34"/>
        <v>58.887000000000008</v>
      </c>
      <c r="S145" s="32">
        <f t="shared" si="33"/>
        <v>59.697000000000003</v>
      </c>
      <c r="T145" s="186">
        <f t="shared" si="33"/>
        <v>60.507000000000005</v>
      </c>
      <c r="U145" s="32">
        <f t="shared" si="33"/>
        <v>61.317000000000007</v>
      </c>
      <c r="V145" s="32">
        <f t="shared" si="33"/>
        <v>62.127000000000002</v>
      </c>
      <c r="W145" s="32">
        <f t="shared" si="33"/>
        <v>62.937000000000005</v>
      </c>
      <c r="X145" s="32">
        <f t="shared" si="33"/>
        <v>63.747</v>
      </c>
      <c r="Y145" s="32">
        <f t="shared" si="33"/>
        <v>64.557000000000002</v>
      </c>
      <c r="Z145" s="32">
        <f t="shared" si="33"/>
        <v>65.367000000000004</v>
      </c>
      <c r="AA145" s="32">
        <f t="shared" si="33"/>
        <v>66.177000000000007</v>
      </c>
      <c r="AB145" s="32">
        <f t="shared" si="33"/>
        <v>66.987000000000009</v>
      </c>
      <c r="AC145" s="32">
        <f t="shared" si="33"/>
        <v>67.796999999999997</v>
      </c>
      <c r="AD145" s="32">
        <f t="shared" si="33"/>
        <v>68.606999999999999</v>
      </c>
      <c r="AE145" s="32">
        <f t="shared" si="33"/>
        <v>69.417000000000016</v>
      </c>
      <c r="AF145" s="32">
        <f t="shared" si="33"/>
        <v>70.227000000000004</v>
      </c>
      <c r="AG145" s="32">
        <f t="shared" si="33"/>
        <v>71.037000000000006</v>
      </c>
      <c r="AH145" s="32">
        <f t="shared" si="32"/>
        <v>71.846999999999994</v>
      </c>
      <c r="AI145" s="32">
        <f t="shared" si="32"/>
        <v>72.657000000000011</v>
      </c>
      <c r="AJ145" s="32">
        <f t="shared" si="32"/>
        <v>73.467000000000013</v>
      </c>
      <c r="AK145" s="32">
        <f t="shared" si="32"/>
        <v>74.277000000000001</v>
      </c>
      <c r="AL145" s="32">
        <f t="shared" si="32"/>
        <v>75.087000000000003</v>
      </c>
      <c r="AM145" s="32">
        <f t="shared" si="31"/>
        <v>75.897000000000006</v>
      </c>
      <c r="AN145" s="32">
        <f t="shared" si="31"/>
        <v>76.707000000000008</v>
      </c>
      <c r="AO145" s="32">
        <f t="shared" si="31"/>
        <v>77.51700000000001</v>
      </c>
      <c r="AP145" s="32">
        <f t="shared" si="31"/>
        <v>78.326999999999998</v>
      </c>
      <c r="AQ145" s="32">
        <f t="shared" si="31"/>
        <v>79.137000000000015</v>
      </c>
      <c r="AR145" s="32">
        <f t="shared" si="31"/>
        <v>79.947000000000003</v>
      </c>
      <c r="AS145" s="32">
        <f t="shared" si="31"/>
        <v>80.757000000000005</v>
      </c>
      <c r="AT145" s="32">
        <f t="shared" si="31"/>
        <v>81.567000000000007</v>
      </c>
      <c r="AU145" s="32">
        <f t="shared" si="31"/>
        <v>82.37700000000001</v>
      </c>
      <c r="AV145" s="32">
        <f t="shared" si="31"/>
        <v>83.187000000000012</v>
      </c>
      <c r="AW145" s="32">
        <f t="shared" si="31"/>
        <v>83.997</v>
      </c>
      <c r="AX145" s="32">
        <f t="shared" si="31"/>
        <v>84.807000000000002</v>
      </c>
      <c r="AY145" s="32">
        <f t="shared" si="31"/>
        <v>85.617000000000004</v>
      </c>
      <c r="AZ145" s="32">
        <f t="shared" si="31"/>
        <v>86.427000000000007</v>
      </c>
      <c r="BA145" s="16"/>
    </row>
    <row r="146" spans="1:53" hidden="1" x14ac:dyDescent="0.25">
      <c r="A146" s="16"/>
      <c r="B146" s="31">
        <v>78</v>
      </c>
      <c r="C146" s="32">
        <f t="shared" si="34"/>
        <v>46.817999999999998</v>
      </c>
      <c r="D146" s="32">
        <f t="shared" si="34"/>
        <v>47.628</v>
      </c>
      <c r="E146" s="32">
        <f t="shared" si="34"/>
        <v>48.438000000000002</v>
      </c>
      <c r="F146" s="32">
        <f t="shared" si="34"/>
        <v>49.247999999999998</v>
      </c>
      <c r="G146" s="32">
        <f t="shared" si="34"/>
        <v>50.058</v>
      </c>
      <c r="H146" s="32">
        <f t="shared" si="34"/>
        <v>50.867999999999995</v>
      </c>
      <c r="I146" s="32">
        <f t="shared" si="34"/>
        <v>51.678000000000004</v>
      </c>
      <c r="J146" s="32">
        <f t="shared" si="34"/>
        <v>52.488</v>
      </c>
      <c r="K146" s="32">
        <f t="shared" si="34"/>
        <v>53.298000000000002</v>
      </c>
      <c r="L146" s="32">
        <f t="shared" si="34"/>
        <v>54.107999999999997</v>
      </c>
      <c r="M146" s="32">
        <f t="shared" si="34"/>
        <v>54.917999999999999</v>
      </c>
      <c r="N146" s="32">
        <f t="shared" si="34"/>
        <v>55.728000000000002</v>
      </c>
      <c r="O146" s="32">
        <f t="shared" si="34"/>
        <v>56.538000000000004</v>
      </c>
      <c r="P146" s="32">
        <f t="shared" si="34"/>
        <v>57.347999999999999</v>
      </c>
      <c r="Q146" s="32">
        <f t="shared" si="34"/>
        <v>58.158000000000008</v>
      </c>
      <c r="R146" s="32">
        <f t="shared" si="34"/>
        <v>58.967999999999996</v>
      </c>
      <c r="S146" s="32">
        <f t="shared" si="33"/>
        <v>59.778000000000006</v>
      </c>
      <c r="T146" s="186">
        <f t="shared" si="33"/>
        <v>60.587999999999994</v>
      </c>
      <c r="U146" s="32">
        <f t="shared" si="33"/>
        <v>61.398000000000003</v>
      </c>
      <c r="V146" s="32">
        <f t="shared" si="33"/>
        <v>62.208000000000006</v>
      </c>
      <c r="W146" s="32">
        <f t="shared" si="33"/>
        <v>63.018000000000001</v>
      </c>
      <c r="X146" s="32">
        <f t="shared" si="33"/>
        <v>63.828000000000003</v>
      </c>
      <c r="Y146" s="32">
        <f t="shared" si="33"/>
        <v>64.637999999999991</v>
      </c>
      <c r="Z146" s="32">
        <f t="shared" si="33"/>
        <v>65.448000000000008</v>
      </c>
      <c r="AA146" s="32">
        <f t="shared" si="33"/>
        <v>66.25800000000001</v>
      </c>
      <c r="AB146" s="32">
        <f t="shared" si="33"/>
        <v>67.067999999999998</v>
      </c>
      <c r="AC146" s="32">
        <f t="shared" si="33"/>
        <v>67.878</v>
      </c>
      <c r="AD146" s="32">
        <f t="shared" si="33"/>
        <v>68.688000000000002</v>
      </c>
      <c r="AE146" s="32">
        <f t="shared" si="33"/>
        <v>69.498000000000005</v>
      </c>
      <c r="AF146" s="32">
        <f t="shared" si="33"/>
        <v>70.308000000000007</v>
      </c>
      <c r="AG146" s="32">
        <f t="shared" si="33"/>
        <v>71.117999999999995</v>
      </c>
      <c r="AH146" s="32">
        <f t="shared" si="32"/>
        <v>71.927999999999997</v>
      </c>
      <c r="AI146" s="32">
        <f t="shared" si="32"/>
        <v>72.738</v>
      </c>
      <c r="AJ146" s="32">
        <f t="shared" si="32"/>
        <v>73.548000000000002</v>
      </c>
      <c r="AK146" s="32">
        <f t="shared" si="32"/>
        <v>74.358000000000004</v>
      </c>
      <c r="AL146" s="32">
        <f t="shared" si="32"/>
        <v>75.167999999999992</v>
      </c>
      <c r="AM146" s="32">
        <f t="shared" si="31"/>
        <v>75.978000000000009</v>
      </c>
      <c r="AN146" s="32">
        <f t="shared" si="31"/>
        <v>76.787999999999997</v>
      </c>
      <c r="AO146" s="32">
        <f t="shared" si="31"/>
        <v>77.597999999999999</v>
      </c>
      <c r="AP146" s="32">
        <f t="shared" si="31"/>
        <v>78.408000000000001</v>
      </c>
      <c r="AQ146" s="32">
        <f t="shared" si="31"/>
        <v>79.218000000000004</v>
      </c>
      <c r="AR146" s="32">
        <f t="shared" si="31"/>
        <v>80.028000000000006</v>
      </c>
      <c r="AS146" s="32">
        <f t="shared" si="31"/>
        <v>80.837999999999994</v>
      </c>
      <c r="AT146" s="32">
        <f t="shared" si="31"/>
        <v>81.647999999999996</v>
      </c>
      <c r="AU146" s="32">
        <f t="shared" si="31"/>
        <v>82.458000000000013</v>
      </c>
      <c r="AV146" s="32">
        <f t="shared" si="31"/>
        <v>83.268000000000001</v>
      </c>
      <c r="AW146" s="32">
        <f t="shared" si="31"/>
        <v>84.078000000000003</v>
      </c>
      <c r="AX146" s="32">
        <f t="shared" si="31"/>
        <v>84.887999999999991</v>
      </c>
      <c r="AY146" s="32">
        <f t="shared" si="31"/>
        <v>85.698000000000008</v>
      </c>
      <c r="AZ146" s="32">
        <f t="shared" si="31"/>
        <v>86.50800000000001</v>
      </c>
      <c r="BA146" s="16"/>
    </row>
    <row r="147" spans="1:53" hidden="1" x14ac:dyDescent="0.25">
      <c r="A147" s="16"/>
      <c r="B147" s="31">
        <v>79</v>
      </c>
      <c r="C147" s="32">
        <f t="shared" si="34"/>
        <v>46.899000000000001</v>
      </c>
      <c r="D147" s="32">
        <f t="shared" si="34"/>
        <v>47.708999999999996</v>
      </c>
      <c r="E147" s="32">
        <f t="shared" si="34"/>
        <v>48.518999999999998</v>
      </c>
      <c r="F147" s="32">
        <f t="shared" si="34"/>
        <v>49.329000000000001</v>
      </c>
      <c r="G147" s="32">
        <f t="shared" si="34"/>
        <v>50.139000000000003</v>
      </c>
      <c r="H147" s="32">
        <f t="shared" si="34"/>
        <v>50.948999999999998</v>
      </c>
      <c r="I147" s="32">
        <f t="shared" si="34"/>
        <v>51.759</v>
      </c>
      <c r="J147" s="32">
        <f t="shared" si="34"/>
        <v>52.569000000000003</v>
      </c>
      <c r="K147" s="32">
        <f t="shared" si="34"/>
        <v>53.379000000000012</v>
      </c>
      <c r="L147" s="32">
        <f t="shared" si="34"/>
        <v>54.189000000000007</v>
      </c>
      <c r="M147" s="32">
        <f t="shared" si="34"/>
        <v>54.999000000000009</v>
      </c>
      <c r="N147" s="32">
        <f t="shared" si="34"/>
        <v>55.809000000000005</v>
      </c>
      <c r="O147" s="32">
        <f t="shared" si="34"/>
        <v>56.619000000000007</v>
      </c>
      <c r="P147" s="32">
        <f t="shared" si="34"/>
        <v>57.429000000000009</v>
      </c>
      <c r="Q147" s="32">
        <f t="shared" si="34"/>
        <v>58.239000000000011</v>
      </c>
      <c r="R147" s="32">
        <f t="shared" si="34"/>
        <v>59.049000000000014</v>
      </c>
      <c r="S147" s="32">
        <f t="shared" si="33"/>
        <v>59.859000000000009</v>
      </c>
      <c r="T147" s="186">
        <f t="shared" si="33"/>
        <v>60.669000000000011</v>
      </c>
      <c r="U147" s="32">
        <f t="shared" si="33"/>
        <v>61.479000000000006</v>
      </c>
      <c r="V147" s="32">
        <f t="shared" si="33"/>
        <v>62.289000000000009</v>
      </c>
      <c r="W147" s="32">
        <f t="shared" si="33"/>
        <v>63.099000000000011</v>
      </c>
      <c r="X147" s="32">
        <f t="shared" si="33"/>
        <v>63.909000000000006</v>
      </c>
      <c r="Y147" s="32">
        <f t="shared" si="33"/>
        <v>64.719000000000008</v>
      </c>
      <c r="Z147" s="32">
        <f t="shared" si="33"/>
        <v>65.529000000000011</v>
      </c>
      <c r="AA147" s="32">
        <f t="shared" si="33"/>
        <v>66.339000000000013</v>
      </c>
      <c r="AB147" s="32">
        <f t="shared" si="33"/>
        <v>67.149000000000015</v>
      </c>
      <c r="AC147" s="32">
        <f t="shared" si="33"/>
        <v>67.959000000000003</v>
      </c>
      <c r="AD147" s="32">
        <f t="shared" si="33"/>
        <v>68.769000000000005</v>
      </c>
      <c r="AE147" s="32">
        <f t="shared" si="33"/>
        <v>69.579000000000008</v>
      </c>
      <c r="AF147" s="32">
        <f t="shared" si="33"/>
        <v>70.38900000000001</v>
      </c>
      <c r="AG147" s="32">
        <f t="shared" si="33"/>
        <v>71.199000000000012</v>
      </c>
      <c r="AH147" s="32">
        <f t="shared" si="32"/>
        <v>72.009</v>
      </c>
      <c r="AI147" s="32">
        <f t="shared" si="32"/>
        <v>72.819000000000017</v>
      </c>
      <c r="AJ147" s="32">
        <f t="shared" si="32"/>
        <v>73.629000000000005</v>
      </c>
      <c r="AK147" s="32">
        <f t="shared" si="32"/>
        <v>74.439000000000007</v>
      </c>
      <c r="AL147" s="32">
        <f t="shared" si="32"/>
        <v>75.249000000000009</v>
      </c>
      <c r="AM147" s="32">
        <f t="shared" si="31"/>
        <v>76.059000000000012</v>
      </c>
      <c r="AN147" s="32">
        <f t="shared" si="31"/>
        <v>76.869000000000014</v>
      </c>
      <c r="AO147" s="32">
        <f t="shared" si="31"/>
        <v>77.679000000000002</v>
      </c>
      <c r="AP147" s="32">
        <f t="shared" si="31"/>
        <v>78.489000000000004</v>
      </c>
      <c r="AQ147" s="32">
        <f t="shared" si="31"/>
        <v>79.299000000000021</v>
      </c>
      <c r="AR147" s="32">
        <f t="shared" si="31"/>
        <v>80.109000000000009</v>
      </c>
      <c r="AS147" s="32">
        <f t="shared" si="31"/>
        <v>80.919000000000011</v>
      </c>
      <c r="AT147" s="32">
        <f t="shared" si="31"/>
        <v>81.728999999999999</v>
      </c>
      <c r="AU147" s="32">
        <f t="shared" si="31"/>
        <v>82.539000000000016</v>
      </c>
      <c r="AV147" s="32">
        <f t="shared" si="31"/>
        <v>83.349000000000018</v>
      </c>
      <c r="AW147" s="32">
        <f t="shared" si="31"/>
        <v>84.159000000000006</v>
      </c>
      <c r="AX147" s="32">
        <f t="shared" si="31"/>
        <v>84.969000000000008</v>
      </c>
      <c r="AY147" s="32">
        <f t="shared" si="31"/>
        <v>85.779000000000011</v>
      </c>
      <c r="AZ147" s="32">
        <f t="shared" si="31"/>
        <v>86.589000000000013</v>
      </c>
      <c r="BA147" s="16"/>
    </row>
    <row r="148" spans="1:53" hidden="1" x14ac:dyDescent="0.25">
      <c r="A148" s="16"/>
      <c r="B148" s="31">
        <v>80</v>
      </c>
      <c r="C148" s="32">
        <f t="shared" si="34"/>
        <v>46.980000000000004</v>
      </c>
      <c r="D148" s="32">
        <f t="shared" si="34"/>
        <v>47.79</v>
      </c>
      <c r="E148" s="32">
        <f t="shared" si="34"/>
        <v>48.6</v>
      </c>
      <c r="F148" s="32">
        <f t="shared" si="34"/>
        <v>49.41</v>
      </c>
      <c r="G148" s="32">
        <f t="shared" si="34"/>
        <v>50.220000000000006</v>
      </c>
      <c r="H148" s="32">
        <f t="shared" si="34"/>
        <v>51.03</v>
      </c>
      <c r="I148" s="32">
        <f t="shared" si="34"/>
        <v>51.84</v>
      </c>
      <c r="J148" s="32">
        <f t="shared" si="34"/>
        <v>52.65</v>
      </c>
      <c r="K148" s="32">
        <f t="shared" si="34"/>
        <v>53.46</v>
      </c>
      <c r="L148" s="32">
        <f t="shared" si="34"/>
        <v>54.27</v>
      </c>
      <c r="M148" s="32">
        <f t="shared" si="34"/>
        <v>55.080000000000005</v>
      </c>
      <c r="N148" s="32">
        <f t="shared" si="34"/>
        <v>55.89</v>
      </c>
      <c r="O148" s="32">
        <f t="shared" si="34"/>
        <v>56.7</v>
      </c>
      <c r="P148" s="32">
        <f t="shared" si="34"/>
        <v>57.51</v>
      </c>
      <c r="Q148" s="32">
        <f t="shared" si="34"/>
        <v>58.32</v>
      </c>
      <c r="R148" s="32">
        <f t="shared" si="34"/>
        <v>59.13</v>
      </c>
      <c r="S148" s="32">
        <f t="shared" si="33"/>
        <v>59.940000000000012</v>
      </c>
      <c r="T148" s="186">
        <f t="shared" si="33"/>
        <v>60.75</v>
      </c>
      <c r="U148" s="32">
        <f t="shared" si="33"/>
        <v>61.560000000000009</v>
      </c>
      <c r="V148" s="32">
        <f t="shared" si="33"/>
        <v>62.37</v>
      </c>
      <c r="W148" s="32">
        <f t="shared" si="33"/>
        <v>63.180000000000007</v>
      </c>
      <c r="X148" s="32">
        <f t="shared" si="33"/>
        <v>63.990000000000009</v>
      </c>
      <c r="Y148" s="32">
        <f t="shared" si="33"/>
        <v>64.8</v>
      </c>
      <c r="Z148" s="32">
        <f t="shared" si="33"/>
        <v>65.610000000000014</v>
      </c>
      <c r="AA148" s="32">
        <f t="shared" si="33"/>
        <v>66.42</v>
      </c>
      <c r="AB148" s="32">
        <f t="shared" si="33"/>
        <v>67.23</v>
      </c>
      <c r="AC148" s="32">
        <f t="shared" si="33"/>
        <v>68.040000000000006</v>
      </c>
      <c r="AD148" s="32">
        <f t="shared" si="33"/>
        <v>68.850000000000009</v>
      </c>
      <c r="AE148" s="32">
        <f t="shared" si="33"/>
        <v>69.660000000000011</v>
      </c>
      <c r="AF148" s="32">
        <f t="shared" si="33"/>
        <v>70.47</v>
      </c>
      <c r="AG148" s="32">
        <f t="shared" si="33"/>
        <v>71.28</v>
      </c>
      <c r="AH148" s="32">
        <f t="shared" si="32"/>
        <v>72.09</v>
      </c>
      <c r="AI148" s="32">
        <f t="shared" si="32"/>
        <v>72.900000000000006</v>
      </c>
      <c r="AJ148" s="32">
        <f t="shared" si="32"/>
        <v>73.710000000000008</v>
      </c>
      <c r="AK148" s="32">
        <f t="shared" si="32"/>
        <v>74.52</v>
      </c>
      <c r="AL148" s="32">
        <f t="shared" si="32"/>
        <v>75.33</v>
      </c>
      <c r="AM148" s="32">
        <f t="shared" si="31"/>
        <v>76.140000000000015</v>
      </c>
      <c r="AN148" s="32">
        <f t="shared" si="31"/>
        <v>76.95</v>
      </c>
      <c r="AO148" s="32">
        <f t="shared" si="31"/>
        <v>77.760000000000005</v>
      </c>
      <c r="AP148" s="32">
        <f t="shared" si="31"/>
        <v>78.569999999999993</v>
      </c>
      <c r="AQ148" s="32">
        <f t="shared" si="31"/>
        <v>79.38000000000001</v>
      </c>
      <c r="AR148" s="32">
        <f t="shared" si="31"/>
        <v>80.190000000000012</v>
      </c>
      <c r="AS148" s="32">
        <f t="shared" si="31"/>
        <v>81</v>
      </c>
      <c r="AT148" s="32">
        <f t="shared" si="31"/>
        <v>81.81</v>
      </c>
      <c r="AU148" s="32">
        <f t="shared" ref="AU148:AZ148" si="35">(AU$16-100+$B148/10)*0.9*0.9</f>
        <v>82.62</v>
      </c>
      <c r="AV148" s="32">
        <f t="shared" si="35"/>
        <v>83.43</v>
      </c>
      <c r="AW148" s="32">
        <f t="shared" si="35"/>
        <v>84.240000000000009</v>
      </c>
      <c r="AX148" s="32">
        <f t="shared" si="35"/>
        <v>85.05</v>
      </c>
      <c r="AY148" s="32">
        <f t="shared" si="35"/>
        <v>85.860000000000014</v>
      </c>
      <c r="AZ148" s="32">
        <f t="shared" si="35"/>
        <v>86.67</v>
      </c>
      <c r="BA148" s="16"/>
    </row>
    <row r="149" spans="1:53" hidden="1" x14ac:dyDescent="0.25">
      <c r="A149" s="16"/>
      <c r="B149" s="16"/>
      <c r="C149" s="16"/>
      <c r="D149" s="16"/>
      <c r="E149" s="16"/>
      <c r="F149" s="16"/>
      <c r="G149" s="16"/>
      <c r="H149" s="16"/>
      <c r="I149" s="16"/>
      <c r="J149" s="16"/>
      <c r="K149" s="16"/>
      <c r="L149" s="16"/>
      <c r="M149" s="16"/>
      <c r="N149" s="16"/>
      <c r="O149" s="16"/>
      <c r="P149" s="16"/>
      <c r="Q149" s="16"/>
      <c r="R149" s="16"/>
      <c r="S149" s="16"/>
      <c r="T149" s="4"/>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row>
    <row r="150" spans="1:53" ht="18.75" hidden="1" x14ac:dyDescent="0.3">
      <c r="A150" s="24" t="s">
        <v>248</v>
      </c>
      <c r="B150" s="16"/>
      <c r="C150" s="16"/>
      <c r="D150" s="16"/>
      <c r="E150" s="16"/>
      <c r="F150" s="25" t="e">
        <f>INDEX($B$152:$AZ$216,MATCH(#REF!,$B$152:$B$216,0),MATCH(#REF!,$B$152:$AZ$152,0))</f>
        <v>#REF!</v>
      </c>
      <c r="G150" s="16"/>
      <c r="H150" s="33" t="s">
        <v>249</v>
      </c>
      <c r="I150" s="16"/>
      <c r="J150" s="16"/>
      <c r="K150" s="16"/>
      <c r="L150" s="16"/>
      <c r="M150" s="16"/>
      <c r="N150" s="16"/>
      <c r="O150" s="16"/>
      <c r="P150" s="16"/>
      <c r="Q150" s="16"/>
      <c r="R150" s="16"/>
      <c r="S150" s="16"/>
      <c r="T150" s="4"/>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row>
    <row r="151" spans="1:53" hidden="1" x14ac:dyDescent="0.25">
      <c r="A151" s="16"/>
      <c r="B151" s="16"/>
      <c r="C151" s="16"/>
      <c r="D151" s="16"/>
      <c r="E151" s="16"/>
      <c r="F151" s="16"/>
      <c r="G151" s="16"/>
      <c r="H151" s="16"/>
      <c r="I151" s="16"/>
      <c r="J151" s="16"/>
      <c r="K151" s="16"/>
      <c r="L151" s="16"/>
      <c r="M151" s="16"/>
      <c r="N151" s="16"/>
      <c r="O151" s="16"/>
      <c r="P151" s="16"/>
      <c r="Q151" s="16"/>
      <c r="R151" s="16"/>
      <c r="S151" s="16"/>
      <c r="T151" s="4"/>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row>
    <row r="152" spans="1:53" hidden="1" x14ac:dyDescent="0.25">
      <c r="A152" s="27"/>
      <c r="B152" s="27"/>
      <c r="C152" s="28">
        <v>150</v>
      </c>
      <c r="D152" s="28">
        <v>151</v>
      </c>
      <c r="E152" s="28">
        <v>152</v>
      </c>
      <c r="F152" s="28">
        <v>153</v>
      </c>
      <c r="G152" s="28">
        <v>154</v>
      </c>
      <c r="H152" s="28">
        <v>155</v>
      </c>
      <c r="I152" s="28">
        <v>156</v>
      </c>
      <c r="J152" s="28">
        <v>157</v>
      </c>
      <c r="K152" s="28">
        <v>158</v>
      </c>
      <c r="L152" s="28">
        <v>159</v>
      </c>
      <c r="M152" s="28">
        <v>160</v>
      </c>
      <c r="N152" s="28">
        <v>161</v>
      </c>
      <c r="O152" s="28">
        <v>162</v>
      </c>
      <c r="P152" s="28">
        <v>163</v>
      </c>
      <c r="Q152" s="28">
        <v>164</v>
      </c>
      <c r="R152" s="28">
        <v>165</v>
      </c>
      <c r="S152" s="28">
        <v>166</v>
      </c>
      <c r="T152" s="184">
        <v>167</v>
      </c>
      <c r="U152" s="28">
        <v>168</v>
      </c>
      <c r="V152" s="28">
        <v>169</v>
      </c>
      <c r="W152" s="28">
        <v>170</v>
      </c>
      <c r="X152" s="28">
        <v>171</v>
      </c>
      <c r="Y152" s="28">
        <v>172</v>
      </c>
      <c r="Z152" s="28">
        <v>173</v>
      </c>
      <c r="AA152" s="28">
        <v>174</v>
      </c>
      <c r="AB152" s="28">
        <v>175</v>
      </c>
      <c r="AC152" s="28">
        <v>176</v>
      </c>
      <c r="AD152" s="28">
        <v>177</v>
      </c>
      <c r="AE152" s="28">
        <v>178</v>
      </c>
      <c r="AF152" s="28">
        <v>179</v>
      </c>
      <c r="AG152" s="28">
        <v>180</v>
      </c>
      <c r="AH152" s="28">
        <v>181</v>
      </c>
      <c r="AI152" s="28">
        <v>182</v>
      </c>
      <c r="AJ152" s="28">
        <v>183</v>
      </c>
      <c r="AK152" s="28">
        <v>184</v>
      </c>
      <c r="AL152" s="28">
        <v>185</v>
      </c>
      <c r="AM152" s="28">
        <v>186</v>
      </c>
      <c r="AN152" s="28">
        <v>187</v>
      </c>
      <c r="AO152" s="28">
        <v>188</v>
      </c>
      <c r="AP152" s="28">
        <v>189</v>
      </c>
      <c r="AQ152" s="28">
        <v>190</v>
      </c>
      <c r="AR152" s="28">
        <v>191</v>
      </c>
      <c r="AS152" s="28">
        <v>192</v>
      </c>
      <c r="AT152" s="28">
        <v>193</v>
      </c>
      <c r="AU152" s="28">
        <v>194</v>
      </c>
      <c r="AV152" s="28">
        <v>195</v>
      </c>
      <c r="AW152" s="28">
        <v>196</v>
      </c>
      <c r="AX152" s="28">
        <v>197</v>
      </c>
      <c r="AY152" s="28">
        <v>198</v>
      </c>
      <c r="AZ152" s="28">
        <v>199</v>
      </c>
      <c r="BA152" s="16"/>
    </row>
    <row r="153" spans="1:53" hidden="1" x14ac:dyDescent="0.25">
      <c r="A153" s="16"/>
      <c r="B153" s="16"/>
      <c r="C153" s="29" t="s">
        <v>195</v>
      </c>
      <c r="D153" s="29" t="s">
        <v>196</v>
      </c>
      <c r="E153" s="29" t="s">
        <v>197</v>
      </c>
      <c r="F153" s="29" t="s">
        <v>198</v>
      </c>
      <c r="G153" s="29" t="s">
        <v>199</v>
      </c>
      <c r="H153" s="29" t="s">
        <v>200</v>
      </c>
      <c r="I153" s="29" t="s">
        <v>201</v>
      </c>
      <c r="J153" s="29" t="s">
        <v>202</v>
      </c>
      <c r="K153" s="29" t="s">
        <v>203</v>
      </c>
      <c r="L153" s="29" t="s">
        <v>204</v>
      </c>
      <c r="M153" s="29" t="s">
        <v>205</v>
      </c>
      <c r="N153" s="29" t="s">
        <v>206</v>
      </c>
      <c r="O153" s="29" t="s">
        <v>207</v>
      </c>
      <c r="P153" s="29" t="s">
        <v>208</v>
      </c>
      <c r="Q153" s="29" t="s">
        <v>209</v>
      </c>
      <c r="R153" s="29" t="s">
        <v>210</v>
      </c>
      <c r="S153" s="29" t="s">
        <v>211</v>
      </c>
      <c r="T153" s="185" t="s">
        <v>212</v>
      </c>
      <c r="U153" s="29" t="s">
        <v>213</v>
      </c>
      <c r="V153" s="29" t="s">
        <v>214</v>
      </c>
      <c r="W153" s="29" t="s">
        <v>215</v>
      </c>
      <c r="X153" s="29" t="s">
        <v>216</v>
      </c>
      <c r="Y153" s="29" t="s">
        <v>217</v>
      </c>
      <c r="Z153" s="29" t="s">
        <v>218</v>
      </c>
      <c r="AA153" s="29" t="s">
        <v>219</v>
      </c>
      <c r="AB153" s="29" t="s">
        <v>220</v>
      </c>
      <c r="AC153" s="29" t="s">
        <v>221</v>
      </c>
      <c r="AD153" s="29" t="s">
        <v>222</v>
      </c>
      <c r="AE153" s="29" t="s">
        <v>223</v>
      </c>
      <c r="AF153" s="29" t="s">
        <v>224</v>
      </c>
      <c r="AG153" s="29" t="s">
        <v>225</v>
      </c>
      <c r="AH153" s="29" t="s">
        <v>226</v>
      </c>
      <c r="AI153" s="29" t="s">
        <v>227</v>
      </c>
      <c r="AJ153" s="29" t="s">
        <v>228</v>
      </c>
      <c r="AK153" s="29" t="s">
        <v>229</v>
      </c>
      <c r="AL153" s="29" t="s">
        <v>230</v>
      </c>
      <c r="AM153" s="29" t="s">
        <v>231</v>
      </c>
      <c r="AN153" s="29" t="s">
        <v>232</v>
      </c>
      <c r="AO153" s="29" t="s">
        <v>233</v>
      </c>
      <c r="AP153" s="29" t="s">
        <v>234</v>
      </c>
      <c r="AQ153" s="29" t="s">
        <v>235</v>
      </c>
      <c r="AR153" s="29" t="s">
        <v>236</v>
      </c>
      <c r="AS153" s="29" t="s">
        <v>237</v>
      </c>
      <c r="AT153" s="29" t="s">
        <v>238</v>
      </c>
      <c r="AU153" s="29" t="s">
        <v>239</v>
      </c>
      <c r="AV153" s="29" t="s">
        <v>240</v>
      </c>
      <c r="AW153" s="29" t="s">
        <v>241</v>
      </c>
      <c r="AX153" s="29" t="s">
        <v>242</v>
      </c>
      <c r="AY153" s="29" t="s">
        <v>243</v>
      </c>
      <c r="AZ153" s="29" t="s">
        <v>244</v>
      </c>
      <c r="BA153" s="16"/>
    </row>
    <row r="154" spans="1:53" hidden="1" x14ac:dyDescent="0.25">
      <c r="A154" s="30" t="s">
        <v>245</v>
      </c>
      <c r="B154" s="31">
        <v>18</v>
      </c>
      <c r="C154" s="32">
        <f>(C$16-100+$B154/10)*0.9*1.1</f>
        <v>51.282000000000004</v>
      </c>
      <c r="D154" s="32">
        <f t="shared" ref="D154:AL161" si="36">(D$16-100+$B154/10)*0.9*1.1</f>
        <v>52.271999999999998</v>
      </c>
      <c r="E154" s="32">
        <f t="shared" si="36"/>
        <v>53.262000000000008</v>
      </c>
      <c r="F154" s="32">
        <f t="shared" si="36"/>
        <v>54.252000000000002</v>
      </c>
      <c r="G154" s="32">
        <f t="shared" si="36"/>
        <v>55.242000000000004</v>
      </c>
      <c r="H154" s="32">
        <f t="shared" si="36"/>
        <v>56.231999999999999</v>
      </c>
      <c r="I154" s="32">
        <f t="shared" si="36"/>
        <v>57.222000000000001</v>
      </c>
      <c r="J154" s="32">
        <f t="shared" si="36"/>
        <v>58.212000000000003</v>
      </c>
      <c r="K154" s="32">
        <f t="shared" si="36"/>
        <v>59.202000000000005</v>
      </c>
      <c r="L154" s="32">
        <f t="shared" si="36"/>
        <v>60.192</v>
      </c>
      <c r="M154" s="32">
        <f t="shared" si="36"/>
        <v>61.182000000000002</v>
      </c>
      <c r="N154" s="32">
        <f t="shared" si="36"/>
        <v>62.172000000000004</v>
      </c>
      <c r="O154" s="32">
        <f t="shared" si="36"/>
        <v>63.162000000000006</v>
      </c>
      <c r="P154" s="32">
        <f t="shared" si="36"/>
        <v>64.152000000000001</v>
      </c>
      <c r="Q154" s="32">
        <f t="shared" si="36"/>
        <v>65.14200000000001</v>
      </c>
      <c r="R154" s="32">
        <f t="shared" si="36"/>
        <v>66.132000000000005</v>
      </c>
      <c r="S154" s="32">
        <f t="shared" si="36"/>
        <v>67.122</v>
      </c>
      <c r="T154" s="186">
        <f t="shared" si="36"/>
        <v>68.112000000000009</v>
      </c>
      <c r="U154" s="32">
        <f t="shared" si="36"/>
        <v>69.102000000000004</v>
      </c>
      <c r="V154" s="32">
        <f t="shared" si="36"/>
        <v>70.091999999999999</v>
      </c>
      <c r="W154" s="32">
        <f t="shared" si="36"/>
        <v>71.082000000000008</v>
      </c>
      <c r="X154" s="32">
        <f t="shared" si="36"/>
        <v>72.072000000000003</v>
      </c>
      <c r="Y154" s="32">
        <f t="shared" si="36"/>
        <v>73.062000000000012</v>
      </c>
      <c r="Z154" s="32">
        <f t="shared" si="36"/>
        <v>74.051999999999992</v>
      </c>
      <c r="AA154" s="32">
        <f t="shared" si="36"/>
        <v>75.042000000000002</v>
      </c>
      <c r="AB154" s="32">
        <f t="shared" si="36"/>
        <v>76.032000000000011</v>
      </c>
      <c r="AC154" s="32">
        <f t="shared" si="36"/>
        <v>77.022000000000006</v>
      </c>
      <c r="AD154" s="32">
        <f t="shared" si="36"/>
        <v>78.012000000000015</v>
      </c>
      <c r="AE154" s="32">
        <f t="shared" si="36"/>
        <v>79.001999999999995</v>
      </c>
      <c r="AF154" s="32">
        <f t="shared" si="36"/>
        <v>79.992000000000004</v>
      </c>
      <c r="AG154" s="32">
        <f t="shared" si="36"/>
        <v>80.982000000000014</v>
      </c>
      <c r="AH154" s="32">
        <f t="shared" si="36"/>
        <v>81.972000000000008</v>
      </c>
      <c r="AI154" s="32">
        <f t="shared" si="36"/>
        <v>82.962000000000003</v>
      </c>
      <c r="AJ154" s="32">
        <f t="shared" si="36"/>
        <v>83.951999999999998</v>
      </c>
      <c r="AK154" s="32">
        <f t="shared" si="36"/>
        <v>84.942000000000007</v>
      </c>
      <c r="AL154" s="32">
        <f t="shared" si="36"/>
        <v>85.932000000000016</v>
      </c>
      <c r="AM154" s="32">
        <f t="shared" ref="AM154:AZ169" si="37">(AM$16-100+$B154/10)*0.9*1.1</f>
        <v>86.921999999999997</v>
      </c>
      <c r="AN154" s="32">
        <f t="shared" si="37"/>
        <v>87.912000000000006</v>
      </c>
      <c r="AO154" s="32">
        <f t="shared" si="37"/>
        <v>88.902000000000001</v>
      </c>
      <c r="AP154" s="32">
        <f t="shared" si="37"/>
        <v>89.89200000000001</v>
      </c>
      <c r="AQ154" s="32">
        <f t="shared" si="37"/>
        <v>90.882000000000019</v>
      </c>
      <c r="AR154" s="32">
        <f t="shared" si="37"/>
        <v>91.872</v>
      </c>
      <c r="AS154" s="32">
        <f t="shared" si="37"/>
        <v>92.862000000000009</v>
      </c>
      <c r="AT154" s="32">
        <f t="shared" si="37"/>
        <v>93.852000000000004</v>
      </c>
      <c r="AU154" s="32">
        <f t="shared" si="37"/>
        <v>94.842000000000013</v>
      </c>
      <c r="AV154" s="32">
        <f t="shared" si="37"/>
        <v>95.832000000000008</v>
      </c>
      <c r="AW154" s="32">
        <f t="shared" si="37"/>
        <v>96.822000000000003</v>
      </c>
      <c r="AX154" s="32">
        <f t="shared" si="37"/>
        <v>97.812000000000012</v>
      </c>
      <c r="AY154" s="32">
        <f t="shared" si="37"/>
        <v>98.802000000000007</v>
      </c>
      <c r="AZ154" s="32">
        <f t="shared" si="37"/>
        <v>99.792000000000002</v>
      </c>
      <c r="BA154" s="16"/>
    </row>
    <row r="155" spans="1:53" hidden="1" x14ac:dyDescent="0.25">
      <c r="A155" s="16"/>
      <c r="B155" s="31">
        <v>19</v>
      </c>
      <c r="C155" s="32">
        <f t="shared" ref="C155:R177" si="38">(C$16-100+$B155/10)*0.9*1.1</f>
        <v>51.381000000000007</v>
      </c>
      <c r="D155" s="32">
        <f t="shared" si="36"/>
        <v>52.371000000000002</v>
      </c>
      <c r="E155" s="32">
        <f t="shared" si="36"/>
        <v>53.361000000000004</v>
      </c>
      <c r="F155" s="32">
        <f t="shared" si="36"/>
        <v>54.350999999999999</v>
      </c>
      <c r="G155" s="32">
        <f t="shared" si="36"/>
        <v>55.341000000000008</v>
      </c>
      <c r="H155" s="32">
        <f t="shared" si="36"/>
        <v>56.331000000000003</v>
      </c>
      <c r="I155" s="32">
        <f t="shared" si="36"/>
        <v>57.321000000000005</v>
      </c>
      <c r="J155" s="32">
        <f t="shared" si="36"/>
        <v>58.311</v>
      </c>
      <c r="K155" s="32">
        <f t="shared" si="36"/>
        <v>59.301000000000002</v>
      </c>
      <c r="L155" s="32">
        <f t="shared" si="36"/>
        <v>60.291000000000004</v>
      </c>
      <c r="M155" s="32">
        <f t="shared" si="36"/>
        <v>61.281000000000006</v>
      </c>
      <c r="N155" s="32">
        <f t="shared" si="36"/>
        <v>62.271000000000008</v>
      </c>
      <c r="O155" s="32">
        <f t="shared" si="36"/>
        <v>63.261000000000003</v>
      </c>
      <c r="P155" s="32">
        <f t="shared" si="36"/>
        <v>64.251000000000005</v>
      </c>
      <c r="Q155" s="32">
        <f t="shared" si="36"/>
        <v>65.241000000000014</v>
      </c>
      <c r="R155" s="32">
        <f t="shared" si="36"/>
        <v>66.231000000000009</v>
      </c>
      <c r="S155" s="32">
        <f t="shared" si="36"/>
        <v>67.221000000000018</v>
      </c>
      <c r="T155" s="186">
        <f t="shared" si="36"/>
        <v>68.211000000000013</v>
      </c>
      <c r="U155" s="32">
        <f t="shared" si="36"/>
        <v>69.201000000000008</v>
      </c>
      <c r="V155" s="32">
        <f t="shared" si="36"/>
        <v>70.191000000000017</v>
      </c>
      <c r="W155" s="32">
        <f t="shared" si="36"/>
        <v>71.181000000000012</v>
      </c>
      <c r="X155" s="32">
        <f t="shared" si="36"/>
        <v>72.171000000000021</v>
      </c>
      <c r="Y155" s="32">
        <f t="shared" si="36"/>
        <v>73.161000000000016</v>
      </c>
      <c r="Z155" s="32">
        <f t="shared" si="36"/>
        <v>74.151000000000025</v>
      </c>
      <c r="AA155" s="32">
        <f t="shared" si="36"/>
        <v>75.141000000000005</v>
      </c>
      <c r="AB155" s="32">
        <f t="shared" si="36"/>
        <v>76.131000000000014</v>
      </c>
      <c r="AC155" s="32">
        <f t="shared" si="36"/>
        <v>77.121000000000024</v>
      </c>
      <c r="AD155" s="32">
        <f t="shared" si="36"/>
        <v>78.111000000000018</v>
      </c>
      <c r="AE155" s="32">
        <f t="shared" si="36"/>
        <v>79.101000000000013</v>
      </c>
      <c r="AF155" s="32">
        <f t="shared" si="36"/>
        <v>80.091000000000008</v>
      </c>
      <c r="AG155" s="32">
        <f t="shared" si="36"/>
        <v>81.081000000000017</v>
      </c>
      <c r="AH155" s="32">
        <f t="shared" si="36"/>
        <v>82.071000000000026</v>
      </c>
      <c r="AI155" s="32">
        <f t="shared" si="36"/>
        <v>83.061000000000007</v>
      </c>
      <c r="AJ155" s="32">
        <f t="shared" si="36"/>
        <v>84.051000000000016</v>
      </c>
      <c r="AK155" s="32">
        <f t="shared" si="36"/>
        <v>85.041000000000011</v>
      </c>
      <c r="AL155" s="32">
        <f t="shared" si="36"/>
        <v>86.03100000000002</v>
      </c>
      <c r="AM155" s="32">
        <f t="shared" si="37"/>
        <v>87.021000000000015</v>
      </c>
      <c r="AN155" s="32">
        <f t="shared" si="37"/>
        <v>88.01100000000001</v>
      </c>
      <c r="AO155" s="32">
        <f t="shared" si="37"/>
        <v>89.001000000000019</v>
      </c>
      <c r="AP155" s="32">
        <f t="shared" si="37"/>
        <v>89.991000000000014</v>
      </c>
      <c r="AQ155" s="32">
        <f t="shared" si="37"/>
        <v>90.981000000000023</v>
      </c>
      <c r="AR155" s="32">
        <f t="shared" si="37"/>
        <v>91.971000000000018</v>
      </c>
      <c r="AS155" s="32">
        <f t="shared" si="37"/>
        <v>92.961000000000013</v>
      </c>
      <c r="AT155" s="32">
        <f t="shared" si="37"/>
        <v>93.951000000000022</v>
      </c>
      <c r="AU155" s="32">
        <f t="shared" si="37"/>
        <v>94.941000000000017</v>
      </c>
      <c r="AV155" s="32">
        <f t="shared" si="37"/>
        <v>95.931000000000012</v>
      </c>
      <c r="AW155" s="32">
        <f t="shared" si="37"/>
        <v>96.921000000000021</v>
      </c>
      <c r="AX155" s="32">
        <f t="shared" si="37"/>
        <v>97.911000000000016</v>
      </c>
      <c r="AY155" s="32">
        <f t="shared" si="37"/>
        <v>98.901000000000025</v>
      </c>
      <c r="AZ155" s="32">
        <f t="shared" si="37"/>
        <v>99.891000000000005</v>
      </c>
      <c r="BA155" s="16"/>
    </row>
    <row r="156" spans="1:53" hidden="1" x14ac:dyDescent="0.25">
      <c r="A156" s="16"/>
      <c r="B156" s="31">
        <v>20</v>
      </c>
      <c r="C156" s="32">
        <f t="shared" si="38"/>
        <v>51.480000000000011</v>
      </c>
      <c r="D156" s="32">
        <f t="shared" si="36"/>
        <v>52.470000000000006</v>
      </c>
      <c r="E156" s="32">
        <f t="shared" si="36"/>
        <v>53.460000000000008</v>
      </c>
      <c r="F156" s="32">
        <f t="shared" si="36"/>
        <v>54.45</v>
      </c>
      <c r="G156" s="32">
        <f t="shared" si="36"/>
        <v>55.440000000000005</v>
      </c>
      <c r="H156" s="32">
        <f t="shared" si="36"/>
        <v>56.430000000000007</v>
      </c>
      <c r="I156" s="32">
        <f t="shared" si="36"/>
        <v>57.420000000000009</v>
      </c>
      <c r="J156" s="32">
        <f t="shared" si="36"/>
        <v>58.410000000000004</v>
      </c>
      <c r="K156" s="32">
        <f t="shared" si="36"/>
        <v>59.400000000000006</v>
      </c>
      <c r="L156" s="32">
        <f t="shared" si="36"/>
        <v>60.39</v>
      </c>
      <c r="M156" s="32">
        <f t="shared" si="36"/>
        <v>61.38000000000001</v>
      </c>
      <c r="N156" s="32">
        <f t="shared" si="36"/>
        <v>62.370000000000012</v>
      </c>
      <c r="O156" s="32">
        <f t="shared" si="36"/>
        <v>63.360000000000007</v>
      </c>
      <c r="P156" s="32">
        <f t="shared" si="36"/>
        <v>64.350000000000009</v>
      </c>
      <c r="Q156" s="32">
        <f t="shared" si="36"/>
        <v>65.34</v>
      </c>
      <c r="R156" s="32">
        <f t="shared" si="36"/>
        <v>66.330000000000013</v>
      </c>
      <c r="S156" s="32">
        <f t="shared" si="36"/>
        <v>67.320000000000007</v>
      </c>
      <c r="T156" s="186">
        <f t="shared" si="36"/>
        <v>68.31</v>
      </c>
      <c r="U156" s="32">
        <f t="shared" si="36"/>
        <v>69.300000000000011</v>
      </c>
      <c r="V156" s="32">
        <f t="shared" si="36"/>
        <v>70.290000000000006</v>
      </c>
      <c r="W156" s="32">
        <f t="shared" si="36"/>
        <v>71.28</v>
      </c>
      <c r="X156" s="32">
        <f t="shared" si="36"/>
        <v>72.27000000000001</v>
      </c>
      <c r="Y156" s="32">
        <f t="shared" si="36"/>
        <v>73.260000000000019</v>
      </c>
      <c r="Z156" s="32">
        <f t="shared" si="36"/>
        <v>74.25</v>
      </c>
      <c r="AA156" s="32">
        <f t="shared" si="36"/>
        <v>75.240000000000009</v>
      </c>
      <c r="AB156" s="32">
        <f t="shared" si="36"/>
        <v>76.23</v>
      </c>
      <c r="AC156" s="32">
        <f t="shared" si="36"/>
        <v>77.220000000000013</v>
      </c>
      <c r="AD156" s="32">
        <f t="shared" si="36"/>
        <v>78.210000000000022</v>
      </c>
      <c r="AE156" s="32">
        <f t="shared" si="36"/>
        <v>79.2</v>
      </c>
      <c r="AF156" s="32">
        <f t="shared" si="36"/>
        <v>80.190000000000012</v>
      </c>
      <c r="AG156" s="32">
        <f t="shared" si="36"/>
        <v>81.180000000000007</v>
      </c>
      <c r="AH156" s="32">
        <f t="shared" si="36"/>
        <v>82.170000000000016</v>
      </c>
      <c r="AI156" s="32">
        <f t="shared" si="36"/>
        <v>83.160000000000011</v>
      </c>
      <c r="AJ156" s="32">
        <f t="shared" si="36"/>
        <v>84.15</v>
      </c>
      <c r="AK156" s="32">
        <f t="shared" si="36"/>
        <v>85.140000000000015</v>
      </c>
      <c r="AL156" s="32">
        <f t="shared" si="36"/>
        <v>86.13000000000001</v>
      </c>
      <c r="AM156" s="32">
        <f t="shared" si="37"/>
        <v>87.12</v>
      </c>
      <c r="AN156" s="32">
        <f t="shared" si="37"/>
        <v>88.110000000000014</v>
      </c>
      <c r="AO156" s="32">
        <f t="shared" si="37"/>
        <v>89.100000000000009</v>
      </c>
      <c r="AP156" s="32">
        <f t="shared" si="37"/>
        <v>90.090000000000018</v>
      </c>
      <c r="AQ156" s="32">
        <f t="shared" si="37"/>
        <v>91.08</v>
      </c>
      <c r="AR156" s="32">
        <f t="shared" si="37"/>
        <v>92.070000000000007</v>
      </c>
      <c r="AS156" s="32">
        <f t="shared" si="37"/>
        <v>93.060000000000016</v>
      </c>
      <c r="AT156" s="32">
        <f t="shared" si="37"/>
        <v>94.050000000000011</v>
      </c>
      <c r="AU156" s="32">
        <f t="shared" si="37"/>
        <v>95.04000000000002</v>
      </c>
      <c r="AV156" s="32">
        <f t="shared" si="37"/>
        <v>96.03</v>
      </c>
      <c r="AW156" s="32">
        <f t="shared" si="37"/>
        <v>97.02000000000001</v>
      </c>
      <c r="AX156" s="32">
        <f t="shared" si="37"/>
        <v>98.010000000000019</v>
      </c>
      <c r="AY156" s="32">
        <f t="shared" si="37"/>
        <v>99.000000000000014</v>
      </c>
      <c r="AZ156" s="32">
        <f t="shared" si="37"/>
        <v>99.990000000000009</v>
      </c>
      <c r="BA156" s="16"/>
    </row>
    <row r="157" spans="1:53" hidden="1" x14ac:dyDescent="0.25">
      <c r="A157" s="16"/>
      <c r="B157" s="31">
        <v>21</v>
      </c>
      <c r="C157" s="32">
        <f t="shared" si="38"/>
        <v>51.579000000000008</v>
      </c>
      <c r="D157" s="32">
        <f t="shared" si="36"/>
        <v>52.569000000000003</v>
      </c>
      <c r="E157" s="32">
        <f t="shared" si="36"/>
        <v>53.559000000000012</v>
      </c>
      <c r="F157" s="32">
        <f t="shared" si="36"/>
        <v>54.549000000000007</v>
      </c>
      <c r="G157" s="32">
        <f t="shared" si="36"/>
        <v>55.539000000000009</v>
      </c>
      <c r="H157" s="32">
        <f t="shared" si="36"/>
        <v>56.529000000000003</v>
      </c>
      <c r="I157" s="32">
        <f t="shared" si="36"/>
        <v>57.519000000000005</v>
      </c>
      <c r="J157" s="32">
        <f t="shared" si="36"/>
        <v>58.509000000000007</v>
      </c>
      <c r="K157" s="32">
        <f t="shared" si="36"/>
        <v>59.499000000000009</v>
      </c>
      <c r="L157" s="32">
        <f t="shared" si="36"/>
        <v>60.489000000000004</v>
      </c>
      <c r="M157" s="32">
        <f t="shared" si="36"/>
        <v>61.479000000000006</v>
      </c>
      <c r="N157" s="32">
        <f t="shared" si="36"/>
        <v>62.469000000000001</v>
      </c>
      <c r="O157" s="32">
        <f t="shared" si="36"/>
        <v>63.459000000000003</v>
      </c>
      <c r="P157" s="32">
        <f t="shared" si="36"/>
        <v>64.448999999999998</v>
      </c>
      <c r="Q157" s="32">
        <f t="shared" si="36"/>
        <v>65.438999999999993</v>
      </c>
      <c r="R157" s="32">
        <f t="shared" si="36"/>
        <v>66.429000000000002</v>
      </c>
      <c r="S157" s="32">
        <f t="shared" si="36"/>
        <v>67.419000000000011</v>
      </c>
      <c r="T157" s="186">
        <f t="shared" si="36"/>
        <v>68.409000000000006</v>
      </c>
      <c r="U157" s="32">
        <f t="shared" si="36"/>
        <v>69.399000000000001</v>
      </c>
      <c r="V157" s="32">
        <f t="shared" si="36"/>
        <v>70.388999999999996</v>
      </c>
      <c r="W157" s="32">
        <f t="shared" si="36"/>
        <v>71.379000000000005</v>
      </c>
      <c r="X157" s="32">
        <f t="shared" si="36"/>
        <v>72.369</v>
      </c>
      <c r="Y157" s="32">
        <f t="shared" si="36"/>
        <v>73.359000000000009</v>
      </c>
      <c r="Z157" s="32">
        <f t="shared" si="36"/>
        <v>74.349000000000004</v>
      </c>
      <c r="AA157" s="32">
        <f t="shared" si="36"/>
        <v>75.338999999999999</v>
      </c>
      <c r="AB157" s="32">
        <f t="shared" si="36"/>
        <v>76.329000000000008</v>
      </c>
      <c r="AC157" s="32">
        <f t="shared" si="36"/>
        <v>77.319000000000003</v>
      </c>
      <c r="AD157" s="32">
        <f t="shared" si="36"/>
        <v>78.308999999999997</v>
      </c>
      <c r="AE157" s="32">
        <f t="shared" si="36"/>
        <v>79.299000000000007</v>
      </c>
      <c r="AF157" s="32">
        <f t="shared" si="36"/>
        <v>80.289000000000001</v>
      </c>
      <c r="AG157" s="32">
        <f t="shared" si="36"/>
        <v>81.279000000000011</v>
      </c>
      <c r="AH157" s="32">
        <f t="shared" si="36"/>
        <v>82.268999999999991</v>
      </c>
      <c r="AI157" s="32">
        <f t="shared" si="36"/>
        <v>83.259</v>
      </c>
      <c r="AJ157" s="32">
        <f t="shared" si="36"/>
        <v>84.249000000000009</v>
      </c>
      <c r="AK157" s="32">
        <f t="shared" si="36"/>
        <v>85.239000000000004</v>
      </c>
      <c r="AL157" s="32">
        <f t="shared" si="36"/>
        <v>86.229000000000013</v>
      </c>
      <c r="AM157" s="32">
        <f t="shared" si="37"/>
        <v>87.218999999999994</v>
      </c>
      <c r="AN157" s="32">
        <f t="shared" si="37"/>
        <v>88.209000000000003</v>
      </c>
      <c r="AO157" s="32">
        <f t="shared" si="37"/>
        <v>89.199000000000012</v>
      </c>
      <c r="AP157" s="32">
        <f t="shared" si="37"/>
        <v>90.189000000000007</v>
      </c>
      <c r="AQ157" s="32">
        <f t="shared" si="37"/>
        <v>91.179000000000002</v>
      </c>
      <c r="AR157" s="32">
        <f t="shared" si="37"/>
        <v>92.168999999999997</v>
      </c>
      <c r="AS157" s="32">
        <f t="shared" si="37"/>
        <v>93.159000000000006</v>
      </c>
      <c r="AT157" s="32">
        <f t="shared" si="37"/>
        <v>94.149000000000015</v>
      </c>
      <c r="AU157" s="32">
        <f t="shared" si="37"/>
        <v>95.138999999999996</v>
      </c>
      <c r="AV157" s="32">
        <f t="shared" si="37"/>
        <v>96.129000000000005</v>
      </c>
      <c r="AW157" s="32">
        <f t="shared" si="37"/>
        <v>97.119</v>
      </c>
      <c r="AX157" s="32">
        <f t="shared" si="37"/>
        <v>98.109000000000009</v>
      </c>
      <c r="AY157" s="32">
        <f t="shared" si="37"/>
        <v>99.099000000000018</v>
      </c>
      <c r="AZ157" s="32">
        <f t="shared" si="37"/>
        <v>100.089</v>
      </c>
      <c r="BA157" s="16"/>
    </row>
    <row r="158" spans="1:53" hidden="1" x14ac:dyDescent="0.25">
      <c r="A158" s="16"/>
      <c r="B158" s="31">
        <v>22</v>
      </c>
      <c r="C158" s="32">
        <f t="shared" si="38"/>
        <v>51.678000000000011</v>
      </c>
      <c r="D158" s="32">
        <f t="shared" si="36"/>
        <v>52.668000000000006</v>
      </c>
      <c r="E158" s="32">
        <f t="shared" si="36"/>
        <v>53.658000000000008</v>
      </c>
      <c r="F158" s="32">
        <f t="shared" si="36"/>
        <v>54.64800000000001</v>
      </c>
      <c r="G158" s="32">
        <f t="shared" si="36"/>
        <v>55.638000000000012</v>
      </c>
      <c r="H158" s="32">
        <f t="shared" si="36"/>
        <v>56.628000000000007</v>
      </c>
      <c r="I158" s="32">
        <f t="shared" si="36"/>
        <v>57.618000000000009</v>
      </c>
      <c r="J158" s="32">
        <f t="shared" si="36"/>
        <v>58.608000000000004</v>
      </c>
      <c r="K158" s="32">
        <f t="shared" si="36"/>
        <v>59.598000000000013</v>
      </c>
      <c r="L158" s="32">
        <f t="shared" si="36"/>
        <v>60.588000000000008</v>
      </c>
      <c r="M158" s="32">
        <f t="shared" si="36"/>
        <v>61.57800000000001</v>
      </c>
      <c r="N158" s="32">
        <f t="shared" si="36"/>
        <v>62.568000000000005</v>
      </c>
      <c r="O158" s="32">
        <f t="shared" si="36"/>
        <v>63.558000000000007</v>
      </c>
      <c r="P158" s="32">
        <f t="shared" si="36"/>
        <v>64.548000000000016</v>
      </c>
      <c r="Q158" s="32">
        <f t="shared" si="36"/>
        <v>65.538000000000011</v>
      </c>
      <c r="R158" s="32">
        <f t="shared" si="36"/>
        <v>66.528000000000006</v>
      </c>
      <c r="S158" s="32">
        <f t="shared" si="36"/>
        <v>67.518000000000015</v>
      </c>
      <c r="T158" s="186">
        <f t="shared" si="36"/>
        <v>68.50800000000001</v>
      </c>
      <c r="U158" s="32">
        <f t="shared" si="36"/>
        <v>69.498000000000019</v>
      </c>
      <c r="V158" s="32">
        <f t="shared" si="36"/>
        <v>70.488</v>
      </c>
      <c r="W158" s="32">
        <f t="shared" si="36"/>
        <v>71.478000000000009</v>
      </c>
      <c r="X158" s="32">
        <f t="shared" si="36"/>
        <v>72.468000000000018</v>
      </c>
      <c r="Y158" s="32">
        <f t="shared" si="36"/>
        <v>73.458000000000013</v>
      </c>
      <c r="Z158" s="32">
        <f t="shared" si="36"/>
        <v>74.448000000000008</v>
      </c>
      <c r="AA158" s="32">
        <f t="shared" si="36"/>
        <v>75.438000000000002</v>
      </c>
      <c r="AB158" s="32">
        <f t="shared" si="36"/>
        <v>76.428000000000011</v>
      </c>
      <c r="AC158" s="32">
        <f t="shared" si="36"/>
        <v>77.418000000000021</v>
      </c>
      <c r="AD158" s="32">
        <f t="shared" si="36"/>
        <v>78.408000000000001</v>
      </c>
      <c r="AE158" s="32">
        <f t="shared" si="36"/>
        <v>79.39800000000001</v>
      </c>
      <c r="AF158" s="32">
        <f t="shared" si="36"/>
        <v>80.388000000000005</v>
      </c>
      <c r="AG158" s="32">
        <f t="shared" si="36"/>
        <v>81.378000000000014</v>
      </c>
      <c r="AH158" s="32">
        <f t="shared" si="36"/>
        <v>82.368000000000023</v>
      </c>
      <c r="AI158" s="32">
        <f t="shared" si="36"/>
        <v>83.358000000000004</v>
      </c>
      <c r="AJ158" s="32">
        <f t="shared" si="36"/>
        <v>84.348000000000013</v>
      </c>
      <c r="AK158" s="32">
        <f t="shared" si="36"/>
        <v>85.338000000000008</v>
      </c>
      <c r="AL158" s="32">
        <f t="shared" si="36"/>
        <v>86.328000000000017</v>
      </c>
      <c r="AM158" s="32">
        <f t="shared" si="37"/>
        <v>87.318000000000012</v>
      </c>
      <c r="AN158" s="32">
        <f t="shared" si="37"/>
        <v>88.308000000000007</v>
      </c>
      <c r="AO158" s="32">
        <f t="shared" si="37"/>
        <v>89.298000000000016</v>
      </c>
      <c r="AP158" s="32">
        <f t="shared" si="37"/>
        <v>90.288000000000011</v>
      </c>
      <c r="AQ158" s="32">
        <f t="shared" si="37"/>
        <v>91.278000000000006</v>
      </c>
      <c r="AR158" s="32">
        <f t="shared" si="37"/>
        <v>92.268000000000015</v>
      </c>
      <c r="AS158" s="32">
        <f t="shared" si="37"/>
        <v>93.25800000000001</v>
      </c>
      <c r="AT158" s="32">
        <f t="shared" si="37"/>
        <v>94.248000000000019</v>
      </c>
      <c r="AU158" s="32">
        <f t="shared" si="37"/>
        <v>95.238</v>
      </c>
      <c r="AV158" s="32">
        <f t="shared" si="37"/>
        <v>96.228000000000009</v>
      </c>
      <c r="AW158" s="32">
        <f t="shared" si="37"/>
        <v>97.218000000000018</v>
      </c>
      <c r="AX158" s="32">
        <f t="shared" si="37"/>
        <v>98.208000000000013</v>
      </c>
      <c r="AY158" s="32">
        <f t="shared" si="37"/>
        <v>99.198000000000022</v>
      </c>
      <c r="AZ158" s="32">
        <f t="shared" si="37"/>
        <v>100.188</v>
      </c>
      <c r="BA158" s="16"/>
    </row>
    <row r="159" spans="1:53" hidden="1" x14ac:dyDescent="0.25">
      <c r="A159" s="16"/>
      <c r="B159" s="31">
        <v>23</v>
      </c>
      <c r="C159" s="32">
        <f t="shared" si="38"/>
        <v>51.777000000000001</v>
      </c>
      <c r="D159" s="32">
        <f t="shared" si="36"/>
        <v>52.767000000000003</v>
      </c>
      <c r="E159" s="32">
        <f t="shared" si="36"/>
        <v>53.757000000000005</v>
      </c>
      <c r="F159" s="32">
        <f t="shared" si="36"/>
        <v>54.747</v>
      </c>
      <c r="G159" s="32">
        <f t="shared" si="36"/>
        <v>55.737000000000009</v>
      </c>
      <c r="H159" s="32">
        <f t="shared" si="36"/>
        <v>56.727000000000004</v>
      </c>
      <c r="I159" s="32">
        <f t="shared" si="36"/>
        <v>57.717000000000006</v>
      </c>
      <c r="J159" s="32">
        <f t="shared" si="36"/>
        <v>58.707000000000001</v>
      </c>
      <c r="K159" s="32">
        <f t="shared" si="36"/>
        <v>59.697000000000003</v>
      </c>
      <c r="L159" s="32">
        <f t="shared" si="36"/>
        <v>60.687000000000005</v>
      </c>
      <c r="M159" s="32">
        <f t="shared" si="36"/>
        <v>61.677000000000007</v>
      </c>
      <c r="N159" s="32">
        <f t="shared" si="36"/>
        <v>62.667000000000002</v>
      </c>
      <c r="O159" s="32">
        <f t="shared" si="36"/>
        <v>63.657000000000004</v>
      </c>
      <c r="P159" s="32">
        <f t="shared" si="36"/>
        <v>64.647000000000006</v>
      </c>
      <c r="Q159" s="32">
        <f t="shared" si="36"/>
        <v>65.637</v>
      </c>
      <c r="R159" s="32">
        <f t="shared" si="36"/>
        <v>66.62700000000001</v>
      </c>
      <c r="S159" s="32">
        <f t="shared" si="36"/>
        <v>67.617000000000004</v>
      </c>
      <c r="T159" s="186">
        <f t="shared" si="36"/>
        <v>68.606999999999999</v>
      </c>
      <c r="U159" s="32">
        <f t="shared" si="36"/>
        <v>69.596999999999994</v>
      </c>
      <c r="V159" s="32">
        <f t="shared" si="36"/>
        <v>70.587000000000003</v>
      </c>
      <c r="W159" s="32">
        <f t="shared" si="36"/>
        <v>71.576999999999998</v>
      </c>
      <c r="X159" s="32">
        <f t="shared" si="36"/>
        <v>72.567000000000007</v>
      </c>
      <c r="Y159" s="32">
        <f t="shared" si="36"/>
        <v>73.557000000000016</v>
      </c>
      <c r="Z159" s="32">
        <f t="shared" si="36"/>
        <v>74.546999999999997</v>
      </c>
      <c r="AA159" s="32">
        <f t="shared" si="36"/>
        <v>75.537000000000006</v>
      </c>
      <c r="AB159" s="32">
        <f t="shared" si="36"/>
        <v>76.527000000000001</v>
      </c>
      <c r="AC159" s="32">
        <f t="shared" si="36"/>
        <v>77.51700000000001</v>
      </c>
      <c r="AD159" s="32">
        <f t="shared" si="36"/>
        <v>78.507000000000005</v>
      </c>
      <c r="AE159" s="32">
        <f t="shared" si="36"/>
        <v>79.497</v>
      </c>
      <c r="AF159" s="32">
        <f t="shared" si="36"/>
        <v>80.487000000000009</v>
      </c>
      <c r="AG159" s="32">
        <f t="shared" si="36"/>
        <v>81.477000000000004</v>
      </c>
      <c r="AH159" s="32">
        <f t="shared" si="36"/>
        <v>82.466999999999999</v>
      </c>
      <c r="AI159" s="32">
        <f t="shared" si="36"/>
        <v>83.457000000000008</v>
      </c>
      <c r="AJ159" s="32">
        <f t="shared" si="36"/>
        <v>84.447000000000003</v>
      </c>
      <c r="AK159" s="32">
        <f t="shared" si="36"/>
        <v>85.437000000000012</v>
      </c>
      <c r="AL159" s="32">
        <f t="shared" si="36"/>
        <v>86.426999999999992</v>
      </c>
      <c r="AM159" s="32">
        <f t="shared" si="37"/>
        <v>87.417000000000002</v>
      </c>
      <c r="AN159" s="32">
        <f t="shared" si="37"/>
        <v>88.407000000000011</v>
      </c>
      <c r="AO159" s="32">
        <f t="shared" si="37"/>
        <v>89.397000000000006</v>
      </c>
      <c r="AP159" s="32">
        <f t="shared" si="37"/>
        <v>90.387000000000015</v>
      </c>
      <c r="AQ159" s="32">
        <f t="shared" si="37"/>
        <v>91.376999999999995</v>
      </c>
      <c r="AR159" s="32">
        <f t="shared" si="37"/>
        <v>92.367000000000004</v>
      </c>
      <c r="AS159" s="32">
        <f t="shared" si="37"/>
        <v>93.357000000000014</v>
      </c>
      <c r="AT159" s="32">
        <f t="shared" si="37"/>
        <v>94.347000000000008</v>
      </c>
      <c r="AU159" s="32">
        <f t="shared" si="37"/>
        <v>95.337000000000003</v>
      </c>
      <c r="AV159" s="32">
        <f t="shared" si="37"/>
        <v>96.326999999999998</v>
      </c>
      <c r="AW159" s="32">
        <f t="shared" si="37"/>
        <v>97.317000000000007</v>
      </c>
      <c r="AX159" s="32">
        <f t="shared" si="37"/>
        <v>98.307000000000016</v>
      </c>
      <c r="AY159" s="32">
        <f t="shared" si="37"/>
        <v>99.296999999999997</v>
      </c>
      <c r="AZ159" s="32">
        <f t="shared" si="37"/>
        <v>100.28700000000001</v>
      </c>
      <c r="BA159" s="16"/>
    </row>
    <row r="160" spans="1:53" hidden="1" x14ac:dyDescent="0.25">
      <c r="A160" s="16"/>
      <c r="B160" s="31">
        <v>24</v>
      </c>
      <c r="C160" s="32">
        <f t="shared" si="38"/>
        <v>51.875999999999998</v>
      </c>
      <c r="D160" s="32">
        <f t="shared" si="36"/>
        <v>52.866000000000007</v>
      </c>
      <c r="E160" s="32">
        <f t="shared" si="36"/>
        <v>53.856000000000009</v>
      </c>
      <c r="F160" s="32">
        <f t="shared" si="36"/>
        <v>54.846000000000004</v>
      </c>
      <c r="G160" s="32">
        <f t="shared" si="36"/>
        <v>55.836000000000006</v>
      </c>
      <c r="H160" s="32">
        <f t="shared" si="36"/>
        <v>56.826000000000001</v>
      </c>
      <c r="I160" s="32">
        <f t="shared" si="36"/>
        <v>57.81600000000001</v>
      </c>
      <c r="J160" s="32">
        <f t="shared" si="36"/>
        <v>58.806000000000004</v>
      </c>
      <c r="K160" s="32">
        <f t="shared" si="36"/>
        <v>59.796000000000006</v>
      </c>
      <c r="L160" s="32">
        <f t="shared" si="36"/>
        <v>60.786000000000001</v>
      </c>
      <c r="M160" s="32">
        <f t="shared" si="36"/>
        <v>61.776000000000003</v>
      </c>
      <c r="N160" s="32">
        <f t="shared" si="36"/>
        <v>62.766000000000005</v>
      </c>
      <c r="O160" s="32">
        <f t="shared" si="36"/>
        <v>63.756000000000014</v>
      </c>
      <c r="P160" s="32">
        <f t="shared" si="36"/>
        <v>64.746000000000009</v>
      </c>
      <c r="Q160" s="32">
        <f t="shared" si="36"/>
        <v>65.736000000000004</v>
      </c>
      <c r="R160" s="32">
        <f t="shared" si="36"/>
        <v>66.726000000000013</v>
      </c>
      <c r="S160" s="32">
        <f t="shared" si="36"/>
        <v>67.716000000000022</v>
      </c>
      <c r="T160" s="186">
        <f t="shared" si="36"/>
        <v>68.706000000000017</v>
      </c>
      <c r="U160" s="32">
        <f t="shared" si="36"/>
        <v>69.696000000000012</v>
      </c>
      <c r="V160" s="32">
        <f t="shared" si="36"/>
        <v>70.686000000000007</v>
      </c>
      <c r="W160" s="32">
        <f t="shared" si="36"/>
        <v>71.676000000000016</v>
      </c>
      <c r="X160" s="32">
        <f t="shared" si="36"/>
        <v>72.666000000000011</v>
      </c>
      <c r="Y160" s="32">
        <f t="shared" si="36"/>
        <v>73.65600000000002</v>
      </c>
      <c r="Z160" s="32">
        <f t="shared" si="36"/>
        <v>74.646000000000015</v>
      </c>
      <c r="AA160" s="32">
        <f t="shared" si="36"/>
        <v>75.63600000000001</v>
      </c>
      <c r="AB160" s="32">
        <f t="shared" si="36"/>
        <v>76.626000000000019</v>
      </c>
      <c r="AC160" s="32">
        <f t="shared" si="36"/>
        <v>77.616000000000014</v>
      </c>
      <c r="AD160" s="32">
        <f t="shared" si="36"/>
        <v>78.606000000000009</v>
      </c>
      <c r="AE160" s="32">
        <f t="shared" si="36"/>
        <v>79.596000000000018</v>
      </c>
      <c r="AF160" s="32">
        <f t="shared" si="36"/>
        <v>80.586000000000013</v>
      </c>
      <c r="AG160" s="32">
        <f t="shared" si="36"/>
        <v>81.576000000000022</v>
      </c>
      <c r="AH160" s="32">
        <f t="shared" si="36"/>
        <v>82.566000000000003</v>
      </c>
      <c r="AI160" s="32">
        <f t="shared" si="36"/>
        <v>83.556000000000012</v>
      </c>
      <c r="AJ160" s="32">
        <f t="shared" si="36"/>
        <v>84.546000000000021</v>
      </c>
      <c r="AK160" s="32">
        <f t="shared" si="36"/>
        <v>85.536000000000016</v>
      </c>
      <c r="AL160" s="32">
        <f t="shared" si="36"/>
        <v>86.526000000000025</v>
      </c>
      <c r="AM160" s="32">
        <f t="shared" si="37"/>
        <v>87.516000000000005</v>
      </c>
      <c r="AN160" s="32">
        <f t="shared" si="37"/>
        <v>88.506000000000014</v>
      </c>
      <c r="AO160" s="32">
        <f t="shared" si="37"/>
        <v>89.496000000000024</v>
      </c>
      <c r="AP160" s="32">
        <f t="shared" si="37"/>
        <v>90.486000000000018</v>
      </c>
      <c r="AQ160" s="32">
        <f t="shared" si="37"/>
        <v>91.476000000000013</v>
      </c>
      <c r="AR160" s="32">
        <f t="shared" si="37"/>
        <v>92.466000000000008</v>
      </c>
      <c r="AS160" s="32">
        <f t="shared" si="37"/>
        <v>93.456000000000017</v>
      </c>
      <c r="AT160" s="32">
        <f t="shared" si="37"/>
        <v>94.446000000000026</v>
      </c>
      <c r="AU160" s="32">
        <f t="shared" si="37"/>
        <v>95.436000000000007</v>
      </c>
      <c r="AV160" s="32">
        <f t="shared" si="37"/>
        <v>96.426000000000016</v>
      </c>
      <c r="AW160" s="32">
        <f t="shared" si="37"/>
        <v>97.416000000000011</v>
      </c>
      <c r="AX160" s="32">
        <f t="shared" si="37"/>
        <v>98.40600000000002</v>
      </c>
      <c r="AY160" s="32">
        <f t="shared" si="37"/>
        <v>99.396000000000029</v>
      </c>
      <c r="AZ160" s="32">
        <f t="shared" si="37"/>
        <v>100.38600000000001</v>
      </c>
      <c r="BA160" s="16"/>
    </row>
    <row r="161" spans="1:53" hidden="1" x14ac:dyDescent="0.25">
      <c r="A161" s="16"/>
      <c r="B161" s="31">
        <v>25</v>
      </c>
      <c r="C161" s="32">
        <f t="shared" si="38"/>
        <v>51.975000000000001</v>
      </c>
      <c r="D161" s="32">
        <f t="shared" si="36"/>
        <v>52.965000000000003</v>
      </c>
      <c r="E161" s="32">
        <f t="shared" si="36"/>
        <v>53.955000000000013</v>
      </c>
      <c r="F161" s="32">
        <f t="shared" si="36"/>
        <v>54.945000000000007</v>
      </c>
      <c r="G161" s="32">
        <f t="shared" si="36"/>
        <v>55.935000000000009</v>
      </c>
      <c r="H161" s="32">
        <f t="shared" si="36"/>
        <v>56.925000000000004</v>
      </c>
      <c r="I161" s="32">
        <f t="shared" si="36"/>
        <v>57.915000000000006</v>
      </c>
      <c r="J161" s="32">
        <f t="shared" si="36"/>
        <v>58.905000000000008</v>
      </c>
      <c r="K161" s="32">
        <f t="shared" si="36"/>
        <v>59.89500000000001</v>
      </c>
      <c r="L161" s="32">
        <f t="shared" si="36"/>
        <v>60.885000000000005</v>
      </c>
      <c r="M161" s="32">
        <f t="shared" si="36"/>
        <v>61.875000000000007</v>
      </c>
      <c r="N161" s="32">
        <f t="shared" ref="N161:AC192" si="39">(N$16-100+$B161/10)*0.9*1.1</f>
        <v>62.865000000000002</v>
      </c>
      <c r="O161" s="32">
        <f t="shared" si="39"/>
        <v>63.855000000000011</v>
      </c>
      <c r="P161" s="32">
        <f t="shared" si="39"/>
        <v>64.845000000000013</v>
      </c>
      <c r="Q161" s="32">
        <f t="shared" si="39"/>
        <v>65.835000000000008</v>
      </c>
      <c r="R161" s="32">
        <f t="shared" si="39"/>
        <v>66.825000000000003</v>
      </c>
      <c r="S161" s="32">
        <f t="shared" si="39"/>
        <v>67.814999999999998</v>
      </c>
      <c r="T161" s="186">
        <f t="shared" si="39"/>
        <v>68.805000000000007</v>
      </c>
      <c r="U161" s="32">
        <f t="shared" si="39"/>
        <v>69.795000000000002</v>
      </c>
      <c r="V161" s="32">
        <f t="shared" si="39"/>
        <v>70.785000000000011</v>
      </c>
      <c r="W161" s="32">
        <f t="shared" si="39"/>
        <v>71.775000000000006</v>
      </c>
      <c r="X161" s="32">
        <f t="shared" si="39"/>
        <v>72.765000000000015</v>
      </c>
      <c r="Y161" s="32">
        <f t="shared" si="39"/>
        <v>73.75500000000001</v>
      </c>
      <c r="Z161" s="32">
        <f t="shared" si="39"/>
        <v>74.745000000000005</v>
      </c>
      <c r="AA161" s="32">
        <f t="shared" si="39"/>
        <v>75.735000000000014</v>
      </c>
      <c r="AB161" s="32">
        <f t="shared" si="39"/>
        <v>76.725000000000009</v>
      </c>
      <c r="AC161" s="32">
        <f t="shared" si="39"/>
        <v>77.715000000000018</v>
      </c>
      <c r="AD161" s="32">
        <f t="shared" ref="AD161:AS180" si="40">(AD$16-100+$B161/10)*0.9*1.1</f>
        <v>78.704999999999998</v>
      </c>
      <c r="AE161" s="32">
        <f t="shared" si="40"/>
        <v>79.695000000000007</v>
      </c>
      <c r="AF161" s="32">
        <f t="shared" si="40"/>
        <v>80.685000000000016</v>
      </c>
      <c r="AG161" s="32">
        <f t="shared" si="40"/>
        <v>81.675000000000011</v>
      </c>
      <c r="AH161" s="32">
        <f t="shared" si="40"/>
        <v>82.665000000000006</v>
      </c>
      <c r="AI161" s="32">
        <f t="shared" si="40"/>
        <v>83.655000000000001</v>
      </c>
      <c r="AJ161" s="32">
        <f t="shared" si="40"/>
        <v>84.64500000000001</v>
      </c>
      <c r="AK161" s="32">
        <f t="shared" si="40"/>
        <v>85.635000000000019</v>
      </c>
      <c r="AL161" s="32">
        <f t="shared" si="40"/>
        <v>86.625</v>
      </c>
      <c r="AM161" s="32">
        <f t="shared" si="37"/>
        <v>87.615000000000009</v>
      </c>
      <c r="AN161" s="32">
        <f t="shared" si="37"/>
        <v>88.605000000000004</v>
      </c>
      <c r="AO161" s="32">
        <f t="shared" si="37"/>
        <v>89.595000000000013</v>
      </c>
      <c r="AP161" s="32">
        <f t="shared" si="37"/>
        <v>90.585000000000022</v>
      </c>
      <c r="AQ161" s="32">
        <f t="shared" si="37"/>
        <v>91.575000000000003</v>
      </c>
      <c r="AR161" s="32">
        <f t="shared" si="37"/>
        <v>92.565000000000012</v>
      </c>
      <c r="AS161" s="32">
        <f t="shared" si="37"/>
        <v>93.555000000000007</v>
      </c>
      <c r="AT161" s="32">
        <f t="shared" si="37"/>
        <v>94.545000000000016</v>
      </c>
      <c r="AU161" s="32">
        <f t="shared" si="37"/>
        <v>95.535000000000011</v>
      </c>
      <c r="AV161" s="32">
        <f t="shared" si="37"/>
        <v>96.525000000000006</v>
      </c>
      <c r="AW161" s="32">
        <f t="shared" si="37"/>
        <v>97.515000000000015</v>
      </c>
      <c r="AX161" s="32">
        <f t="shared" si="37"/>
        <v>98.50500000000001</v>
      </c>
      <c r="AY161" s="32">
        <f t="shared" si="37"/>
        <v>99.495000000000005</v>
      </c>
      <c r="AZ161" s="32">
        <f t="shared" si="37"/>
        <v>100.48500000000001</v>
      </c>
      <c r="BA161" s="16"/>
    </row>
    <row r="162" spans="1:53" hidden="1" x14ac:dyDescent="0.25">
      <c r="A162" s="16"/>
      <c r="B162" s="31">
        <v>26</v>
      </c>
      <c r="C162" s="32">
        <f t="shared" si="38"/>
        <v>52.074000000000005</v>
      </c>
      <c r="D162" s="32">
        <f t="shared" si="38"/>
        <v>53.064000000000007</v>
      </c>
      <c r="E162" s="32">
        <f t="shared" si="38"/>
        <v>54.054000000000002</v>
      </c>
      <c r="F162" s="32">
        <f t="shared" si="38"/>
        <v>55.044000000000004</v>
      </c>
      <c r="G162" s="32">
        <f t="shared" si="38"/>
        <v>56.034000000000013</v>
      </c>
      <c r="H162" s="32">
        <f t="shared" si="38"/>
        <v>57.024000000000008</v>
      </c>
      <c r="I162" s="32">
        <f t="shared" si="38"/>
        <v>58.01400000000001</v>
      </c>
      <c r="J162" s="32">
        <f t="shared" si="38"/>
        <v>59.004000000000005</v>
      </c>
      <c r="K162" s="32">
        <f t="shared" si="38"/>
        <v>59.994000000000007</v>
      </c>
      <c r="L162" s="32">
        <f t="shared" si="38"/>
        <v>60.984000000000009</v>
      </c>
      <c r="M162" s="32">
        <f t="shared" si="38"/>
        <v>61.974000000000011</v>
      </c>
      <c r="N162" s="32">
        <f t="shared" si="38"/>
        <v>62.964000000000006</v>
      </c>
      <c r="O162" s="32">
        <f t="shared" si="38"/>
        <v>63.954000000000001</v>
      </c>
      <c r="P162" s="32">
        <f t="shared" si="38"/>
        <v>64.944000000000003</v>
      </c>
      <c r="Q162" s="32">
        <f t="shared" si="38"/>
        <v>65.933999999999997</v>
      </c>
      <c r="R162" s="32">
        <f t="shared" si="38"/>
        <v>66.924000000000007</v>
      </c>
      <c r="S162" s="32">
        <f t="shared" si="39"/>
        <v>67.914000000000001</v>
      </c>
      <c r="T162" s="186">
        <f t="shared" si="39"/>
        <v>68.903999999999996</v>
      </c>
      <c r="U162" s="32">
        <f t="shared" si="39"/>
        <v>69.894000000000005</v>
      </c>
      <c r="V162" s="32">
        <f t="shared" si="39"/>
        <v>70.884</v>
      </c>
      <c r="W162" s="32">
        <f t="shared" si="39"/>
        <v>71.874000000000009</v>
      </c>
      <c r="X162" s="32">
        <f t="shared" si="39"/>
        <v>72.864000000000004</v>
      </c>
      <c r="Y162" s="32">
        <f t="shared" si="39"/>
        <v>73.854000000000013</v>
      </c>
      <c r="Z162" s="32">
        <f t="shared" si="39"/>
        <v>74.843999999999994</v>
      </c>
      <c r="AA162" s="32">
        <f t="shared" si="39"/>
        <v>75.834000000000003</v>
      </c>
      <c r="AB162" s="32">
        <f t="shared" si="39"/>
        <v>76.824000000000012</v>
      </c>
      <c r="AC162" s="32">
        <f t="shared" si="39"/>
        <v>77.814000000000007</v>
      </c>
      <c r="AD162" s="32">
        <f t="shared" si="40"/>
        <v>78.804000000000002</v>
      </c>
      <c r="AE162" s="32">
        <f t="shared" si="40"/>
        <v>79.793999999999997</v>
      </c>
      <c r="AF162" s="32">
        <f t="shared" si="40"/>
        <v>80.784000000000006</v>
      </c>
      <c r="AG162" s="32">
        <f t="shared" si="40"/>
        <v>81.774000000000015</v>
      </c>
      <c r="AH162" s="32">
        <f t="shared" si="40"/>
        <v>82.763999999999996</v>
      </c>
      <c r="AI162" s="32">
        <f t="shared" si="40"/>
        <v>83.754000000000005</v>
      </c>
      <c r="AJ162" s="32">
        <f t="shared" si="40"/>
        <v>84.744</v>
      </c>
      <c r="AK162" s="32">
        <f t="shared" si="40"/>
        <v>85.734000000000009</v>
      </c>
      <c r="AL162" s="32">
        <f t="shared" si="40"/>
        <v>86.724000000000004</v>
      </c>
      <c r="AM162" s="32">
        <f t="shared" si="37"/>
        <v>87.713999999999999</v>
      </c>
      <c r="AN162" s="32">
        <f t="shared" si="37"/>
        <v>88.704000000000008</v>
      </c>
      <c r="AO162" s="32">
        <f t="shared" si="37"/>
        <v>89.694000000000003</v>
      </c>
      <c r="AP162" s="32">
        <f t="shared" si="37"/>
        <v>90.684000000000012</v>
      </c>
      <c r="AQ162" s="32">
        <f t="shared" si="37"/>
        <v>91.674000000000007</v>
      </c>
      <c r="AR162" s="32">
        <f t="shared" si="37"/>
        <v>92.664000000000001</v>
      </c>
      <c r="AS162" s="32">
        <f t="shared" si="37"/>
        <v>93.654000000000011</v>
      </c>
      <c r="AT162" s="32">
        <f t="shared" si="37"/>
        <v>94.644000000000005</v>
      </c>
      <c r="AU162" s="32">
        <f t="shared" si="37"/>
        <v>95.634</v>
      </c>
      <c r="AV162" s="32">
        <f t="shared" si="37"/>
        <v>96.624000000000009</v>
      </c>
      <c r="AW162" s="32">
        <f t="shared" si="37"/>
        <v>97.614000000000004</v>
      </c>
      <c r="AX162" s="32">
        <f t="shared" si="37"/>
        <v>98.604000000000013</v>
      </c>
      <c r="AY162" s="32">
        <f t="shared" si="37"/>
        <v>99.593999999999994</v>
      </c>
      <c r="AZ162" s="32">
        <f t="shared" si="37"/>
        <v>100.584</v>
      </c>
      <c r="BA162" s="16"/>
    </row>
    <row r="163" spans="1:53" hidden="1" x14ac:dyDescent="0.25">
      <c r="A163" s="16"/>
      <c r="B163" s="31">
        <v>27</v>
      </c>
      <c r="C163" s="32">
        <f t="shared" si="38"/>
        <v>52.173000000000009</v>
      </c>
      <c r="D163" s="32">
        <f t="shared" si="38"/>
        <v>53.163000000000011</v>
      </c>
      <c r="E163" s="32">
        <f t="shared" si="38"/>
        <v>54.153000000000006</v>
      </c>
      <c r="F163" s="32">
        <f t="shared" si="38"/>
        <v>55.143000000000008</v>
      </c>
      <c r="G163" s="32">
        <f t="shared" si="38"/>
        <v>56.133000000000003</v>
      </c>
      <c r="H163" s="32">
        <f t="shared" si="38"/>
        <v>57.123000000000012</v>
      </c>
      <c r="I163" s="32">
        <f t="shared" si="38"/>
        <v>58.113000000000014</v>
      </c>
      <c r="J163" s="32">
        <f t="shared" si="38"/>
        <v>59.103000000000009</v>
      </c>
      <c r="K163" s="32">
        <f t="shared" si="38"/>
        <v>60.093000000000011</v>
      </c>
      <c r="L163" s="32">
        <f t="shared" si="38"/>
        <v>61.083000000000006</v>
      </c>
      <c r="M163" s="32">
        <f t="shared" si="38"/>
        <v>62.073000000000015</v>
      </c>
      <c r="N163" s="32">
        <f t="shared" si="38"/>
        <v>63.063000000000009</v>
      </c>
      <c r="O163" s="32">
        <f t="shared" si="38"/>
        <v>64.053000000000011</v>
      </c>
      <c r="P163" s="32">
        <f t="shared" si="38"/>
        <v>65.043000000000006</v>
      </c>
      <c r="Q163" s="32">
        <f t="shared" si="38"/>
        <v>66.033000000000001</v>
      </c>
      <c r="R163" s="32">
        <f t="shared" si="38"/>
        <v>67.02300000000001</v>
      </c>
      <c r="S163" s="32">
        <f t="shared" si="39"/>
        <v>68.013000000000005</v>
      </c>
      <c r="T163" s="186">
        <f t="shared" si="39"/>
        <v>69.003000000000014</v>
      </c>
      <c r="U163" s="32">
        <f t="shared" si="39"/>
        <v>69.993000000000009</v>
      </c>
      <c r="V163" s="32">
        <f t="shared" si="39"/>
        <v>70.983000000000004</v>
      </c>
      <c r="W163" s="32">
        <f t="shared" si="39"/>
        <v>71.973000000000013</v>
      </c>
      <c r="X163" s="32">
        <f t="shared" si="39"/>
        <v>72.963000000000008</v>
      </c>
      <c r="Y163" s="32">
        <f t="shared" si="39"/>
        <v>73.953000000000017</v>
      </c>
      <c r="Z163" s="32">
        <f t="shared" si="39"/>
        <v>74.943000000000012</v>
      </c>
      <c r="AA163" s="32">
        <f t="shared" si="39"/>
        <v>75.933000000000007</v>
      </c>
      <c r="AB163" s="32">
        <f t="shared" si="39"/>
        <v>76.923000000000016</v>
      </c>
      <c r="AC163" s="32">
        <f t="shared" si="39"/>
        <v>77.913000000000011</v>
      </c>
      <c r="AD163" s="32">
        <f t="shared" si="40"/>
        <v>78.903000000000006</v>
      </c>
      <c r="AE163" s="32">
        <f t="shared" si="40"/>
        <v>79.893000000000015</v>
      </c>
      <c r="AF163" s="32">
        <f t="shared" si="40"/>
        <v>80.88300000000001</v>
      </c>
      <c r="AG163" s="32">
        <f t="shared" si="40"/>
        <v>81.873000000000019</v>
      </c>
      <c r="AH163" s="32">
        <f t="shared" si="40"/>
        <v>82.863</v>
      </c>
      <c r="AI163" s="32">
        <f t="shared" si="40"/>
        <v>83.853000000000009</v>
      </c>
      <c r="AJ163" s="32">
        <f t="shared" si="40"/>
        <v>84.843000000000018</v>
      </c>
      <c r="AK163" s="32">
        <f t="shared" si="40"/>
        <v>85.833000000000013</v>
      </c>
      <c r="AL163" s="32">
        <f t="shared" si="40"/>
        <v>86.823000000000008</v>
      </c>
      <c r="AM163" s="32">
        <f t="shared" si="37"/>
        <v>87.813000000000002</v>
      </c>
      <c r="AN163" s="32">
        <f t="shared" si="37"/>
        <v>88.803000000000011</v>
      </c>
      <c r="AO163" s="32">
        <f t="shared" si="37"/>
        <v>89.793000000000021</v>
      </c>
      <c r="AP163" s="32">
        <f t="shared" si="37"/>
        <v>90.783000000000015</v>
      </c>
      <c r="AQ163" s="32">
        <f t="shared" si="37"/>
        <v>91.77300000000001</v>
      </c>
      <c r="AR163" s="32">
        <f t="shared" si="37"/>
        <v>92.763000000000005</v>
      </c>
      <c r="AS163" s="32">
        <f t="shared" si="37"/>
        <v>93.753000000000014</v>
      </c>
      <c r="AT163" s="32">
        <f t="shared" si="37"/>
        <v>94.743000000000023</v>
      </c>
      <c r="AU163" s="32">
        <f t="shared" si="37"/>
        <v>95.733000000000004</v>
      </c>
      <c r="AV163" s="32">
        <f t="shared" si="37"/>
        <v>96.723000000000013</v>
      </c>
      <c r="AW163" s="32">
        <f t="shared" si="37"/>
        <v>97.713000000000008</v>
      </c>
      <c r="AX163" s="32">
        <f t="shared" si="37"/>
        <v>98.703000000000017</v>
      </c>
      <c r="AY163" s="32">
        <f t="shared" si="37"/>
        <v>99.693000000000012</v>
      </c>
      <c r="AZ163" s="32">
        <f t="shared" si="37"/>
        <v>100.68300000000001</v>
      </c>
      <c r="BA163" s="16"/>
    </row>
    <row r="164" spans="1:53" hidden="1" x14ac:dyDescent="0.25">
      <c r="A164" s="16"/>
      <c r="B164" s="31">
        <v>28</v>
      </c>
      <c r="C164" s="32">
        <f t="shared" si="38"/>
        <v>52.271999999999998</v>
      </c>
      <c r="D164" s="32">
        <f t="shared" si="38"/>
        <v>53.262000000000008</v>
      </c>
      <c r="E164" s="32">
        <f t="shared" si="38"/>
        <v>54.252000000000002</v>
      </c>
      <c r="F164" s="32">
        <f t="shared" si="38"/>
        <v>55.242000000000004</v>
      </c>
      <c r="G164" s="32">
        <f t="shared" si="38"/>
        <v>56.231999999999999</v>
      </c>
      <c r="H164" s="32">
        <f t="shared" si="38"/>
        <v>57.222000000000001</v>
      </c>
      <c r="I164" s="32">
        <f t="shared" si="38"/>
        <v>58.212000000000003</v>
      </c>
      <c r="J164" s="32">
        <f t="shared" si="38"/>
        <v>59.202000000000005</v>
      </c>
      <c r="K164" s="32">
        <f t="shared" si="38"/>
        <v>60.192</v>
      </c>
      <c r="L164" s="32">
        <f t="shared" si="38"/>
        <v>61.182000000000002</v>
      </c>
      <c r="M164" s="32">
        <f t="shared" si="38"/>
        <v>62.172000000000004</v>
      </c>
      <c r="N164" s="32">
        <f t="shared" si="38"/>
        <v>63.162000000000006</v>
      </c>
      <c r="O164" s="32">
        <f t="shared" si="38"/>
        <v>64.152000000000001</v>
      </c>
      <c r="P164" s="32">
        <f t="shared" si="38"/>
        <v>65.14200000000001</v>
      </c>
      <c r="Q164" s="32">
        <f t="shared" si="38"/>
        <v>66.132000000000005</v>
      </c>
      <c r="R164" s="32">
        <f t="shared" si="38"/>
        <v>67.122</v>
      </c>
      <c r="S164" s="32">
        <f t="shared" si="39"/>
        <v>68.112000000000009</v>
      </c>
      <c r="T164" s="186">
        <f t="shared" si="39"/>
        <v>69.102000000000004</v>
      </c>
      <c r="U164" s="32">
        <f t="shared" si="39"/>
        <v>70.091999999999999</v>
      </c>
      <c r="V164" s="32">
        <f t="shared" si="39"/>
        <v>71.082000000000008</v>
      </c>
      <c r="W164" s="32">
        <f t="shared" si="39"/>
        <v>72.072000000000003</v>
      </c>
      <c r="X164" s="32">
        <f t="shared" si="39"/>
        <v>73.062000000000012</v>
      </c>
      <c r="Y164" s="32">
        <f t="shared" si="39"/>
        <v>74.051999999999992</v>
      </c>
      <c r="Z164" s="32">
        <f t="shared" si="39"/>
        <v>75.042000000000002</v>
      </c>
      <c r="AA164" s="32">
        <f t="shared" si="39"/>
        <v>76.032000000000011</v>
      </c>
      <c r="AB164" s="32">
        <f t="shared" si="39"/>
        <v>77.022000000000006</v>
      </c>
      <c r="AC164" s="32">
        <f t="shared" si="39"/>
        <v>78.012000000000015</v>
      </c>
      <c r="AD164" s="32">
        <f t="shared" si="40"/>
        <v>79.001999999999995</v>
      </c>
      <c r="AE164" s="32">
        <f t="shared" si="40"/>
        <v>79.992000000000004</v>
      </c>
      <c r="AF164" s="32">
        <f t="shared" si="40"/>
        <v>80.982000000000014</v>
      </c>
      <c r="AG164" s="32">
        <f t="shared" si="40"/>
        <v>81.972000000000008</v>
      </c>
      <c r="AH164" s="32">
        <f t="shared" si="40"/>
        <v>82.962000000000003</v>
      </c>
      <c r="AI164" s="32">
        <f t="shared" si="40"/>
        <v>83.951999999999998</v>
      </c>
      <c r="AJ164" s="32">
        <f t="shared" si="40"/>
        <v>84.942000000000007</v>
      </c>
      <c r="AK164" s="32">
        <f t="shared" si="40"/>
        <v>85.932000000000016</v>
      </c>
      <c r="AL164" s="32">
        <f t="shared" si="40"/>
        <v>86.921999999999997</v>
      </c>
      <c r="AM164" s="32">
        <f t="shared" si="37"/>
        <v>87.912000000000006</v>
      </c>
      <c r="AN164" s="32">
        <f t="shared" si="37"/>
        <v>88.902000000000001</v>
      </c>
      <c r="AO164" s="32">
        <f t="shared" si="37"/>
        <v>89.89200000000001</v>
      </c>
      <c r="AP164" s="32">
        <f t="shared" si="37"/>
        <v>90.882000000000019</v>
      </c>
      <c r="AQ164" s="32">
        <f t="shared" si="37"/>
        <v>91.872</v>
      </c>
      <c r="AR164" s="32">
        <f t="shared" si="37"/>
        <v>92.862000000000009</v>
      </c>
      <c r="AS164" s="32">
        <f t="shared" si="37"/>
        <v>93.852000000000004</v>
      </c>
      <c r="AT164" s="32">
        <f t="shared" si="37"/>
        <v>94.842000000000013</v>
      </c>
      <c r="AU164" s="32">
        <f t="shared" si="37"/>
        <v>95.832000000000008</v>
      </c>
      <c r="AV164" s="32">
        <f t="shared" si="37"/>
        <v>96.822000000000003</v>
      </c>
      <c r="AW164" s="32">
        <f t="shared" si="37"/>
        <v>97.812000000000012</v>
      </c>
      <c r="AX164" s="32">
        <f t="shared" si="37"/>
        <v>98.802000000000007</v>
      </c>
      <c r="AY164" s="32">
        <f t="shared" si="37"/>
        <v>99.792000000000002</v>
      </c>
      <c r="AZ164" s="32">
        <f t="shared" si="37"/>
        <v>100.78200000000001</v>
      </c>
      <c r="BA164" s="16"/>
    </row>
    <row r="165" spans="1:53" hidden="1" x14ac:dyDescent="0.25">
      <c r="A165" s="16"/>
      <c r="B165" s="31">
        <v>29</v>
      </c>
      <c r="C165" s="32">
        <f t="shared" si="38"/>
        <v>52.371000000000002</v>
      </c>
      <c r="D165" s="32">
        <f t="shared" si="38"/>
        <v>53.361000000000004</v>
      </c>
      <c r="E165" s="32">
        <f t="shared" si="38"/>
        <v>54.350999999999999</v>
      </c>
      <c r="F165" s="32">
        <f t="shared" si="38"/>
        <v>55.341000000000008</v>
      </c>
      <c r="G165" s="32">
        <f t="shared" si="38"/>
        <v>56.331000000000003</v>
      </c>
      <c r="H165" s="32">
        <f t="shared" si="38"/>
        <v>57.321000000000005</v>
      </c>
      <c r="I165" s="32">
        <f t="shared" si="38"/>
        <v>58.311</v>
      </c>
      <c r="J165" s="32">
        <f t="shared" si="38"/>
        <v>59.301000000000002</v>
      </c>
      <c r="K165" s="32">
        <f t="shared" si="38"/>
        <v>60.291000000000004</v>
      </c>
      <c r="L165" s="32">
        <f t="shared" si="38"/>
        <v>61.281000000000006</v>
      </c>
      <c r="M165" s="32">
        <f t="shared" si="38"/>
        <v>62.271000000000008</v>
      </c>
      <c r="N165" s="32">
        <f t="shared" si="38"/>
        <v>63.261000000000003</v>
      </c>
      <c r="O165" s="32">
        <f t="shared" si="38"/>
        <v>64.251000000000005</v>
      </c>
      <c r="P165" s="32">
        <f t="shared" si="38"/>
        <v>65.241000000000014</v>
      </c>
      <c r="Q165" s="32">
        <f t="shared" si="38"/>
        <v>66.231000000000009</v>
      </c>
      <c r="R165" s="32">
        <f t="shared" si="38"/>
        <v>67.221000000000018</v>
      </c>
      <c r="S165" s="32">
        <f t="shared" si="39"/>
        <v>68.211000000000013</v>
      </c>
      <c r="T165" s="186">
        <f t="shared" si="39"/>
        <v>69.201000000000008</v>
      </c>
      <c r="U165" s="32">
        <f t="shared" si="39"/>
        <v>70.191000000000017</v>
      </c>
      <c r="V165" s="32">
        <f t="shared" si="39"/>
        <v>71.181000000000012</v>
      </c>
      <c r="W165" s="32">
        <f t="shared" si="39"/>
        <v>72.171000000000021</v>
      </c>
      <c r="X165" s="32">
        <f t="shared" si="39"/>
        <v>73.161000000000016</v>
      </c>
      <c r="Y165" s="32">
        <f t="shared" si="39"/>
        <v>74.151000000000025</v>
      </c>
      <c r="Z165" s="32">
        <f t="shared" si="39"/>
        <v>75.141000000000005</v>
      </c>
      <c r="AA165" s="32">
        <f t="shared" si="39"/>
        <v>76.131000000000014</v>
      </c>
      <c r="AB165" s="32">
        <f t="shared" si="39"/>
        <v>77.121000000000024</v>
      </c>
      <c r="AC165" s="32">
        <f t="shared" si="39"/>
        <v>78.111000000000018</v>
      </c>
      <c r="AD165" s="32">
        <f t="shared" si="40"/>
        <v>79.101000000000013</v>
      </c>
      <c r="AE165" s="32">
        <f t="shared" si="40"/>
        <v>80.091000000000008</v>
      </c>
      <c r="AF165" s="32">
        <f t="shared" si="40"/>
        <v>81.081000000000017</v>
      </c>
      <c r="AG165" s="32">
        <f t="shared" si="40"/>
        <v>82.071000000000026</v>
      </c>
      <c r="AH165" s="32">
        <f t="shared" si="40"/>
        <v>83.061000000000007</v>
      </c>
      <c r="AI165" s="32">
        <f t="shared" si="40"/>
        <v>84.051000000000016</v>
      </c>
      <c r="AJ165" s="32">
        <f t="shared" si="40"/>
        <v>85.041000000000011</v>
      </c>
      <c r="AK165" s="32">
        <f t="shared" si="40"/>
        <v>86.03100000000002</v>
      </c>
      <c r="AL165" s="32">
        <f t="shared" si="40"/>
        <v>87.021000000000015</v>
      </c>
      <c r="AM165" s="32">
        <f t="shared" si="37"/>
        <v>88.01100000000001</v>
      </c>
      <c r="AN165" s="32">
        <f t="shared" si="37"/>
        <v>89.001000000000019</v>
      </c>
      <c r="AO165" s="32">
        <f t="shared" si="37"/>
        <v>89.991000000000014</v>
      </c>
      <c r="AP165" s="32">
        <f t="shared" si="37"/>
        <v>90.981000000000023</v>
      </c>
      <c r="AQ165" s="32">
        <f t="shared" si="37"/>
        <v>91.971000000000018</v>
      </c>
      <c r="AR165" s="32">
        <f t="shared" si="37"/>
        <v>92.961000000000013</v>
      </c>
      <c r="AS165" s="32">
        <f t="shared" si="37"/>
        <v>93.951000000000022</v>
      </c>
      <c r="AT165" s="32">
        <f t="shared" si="37"/>
        <v>94.941000000000017</v>
      </c>
      <c r="AU165" s="32">
        <f t="shared" si="37"/>
        <v>95.931000000000012</v>
      </c>
      <c r="AV165" s="32">
        <f t="shared" si="37"/>
        <v>96.921000000000021</v>
      </c>
      <c r="AW165" s="32">
        <f t="shared" si="37"/>
        <v>97.911000000000016</v>
      </c>
      <c r="AX165" s="32">
        <f t="shared" si="37"/>
        <v>98.901000000000025</v>
      </c>
      <c r="AY165" s="32">
        <f t="shared" si="37"/>
        <v>99.891000000000005</v>
      </c>
      <c r="AZ165" s="32">
        <f t="shared" si="37"/>
        <v>100.88100000000001</v>
      </c>
      <c r="BA165" s="16"/>
    </row>
    <row r="166" spans="1:53" hidden="1" x14ac:dyDescent="0.25">
      <c r="A166" s="16"/>
      <c r="B166" s="31">
        <v>30</v>
      </c>
      <c r="C166" s="32">
        <f t="shared" si="38"/>
        <v>52.470000000000006</v>
      </c>
      <c r="D166" s="32">
        <f t="shared" si="38"/>
        <v>53.460000000000008</v>
      </c>
      <c r="E166" s="32">
        <f t="shared" si="38"/>
        <v>54.45</v>
      </c>
      <c r="F166" s="32">
        <f t="shared" si="38"/>
        <v>55.440000000000005</v>
      </c>
      <c r="G166" s="32">
        <f t="shared" si="38"/>
        <v>56.430000000000007</v>
      </c>
      <c r="H166" s="32">
        <f t="shared" si="38"/>
        <v>57.420000000000009</v>
      </c>
      <c r="I166" s="32">
        <f t="shared" si="38"/>
        <v>58.410000000000004</v>
      </c>
      <c r="J166" s="32">
        <f t="shared" si="38"/>
        <v>59.400000000000006</v>
      </c>
      <c r="K166" s="32">
        <f t="shared" si="38"/>
        <v>60.39</v>
      </c>
      <c r="L166" s="32">
        <f t="shared" si="38"/>
        <v>61.38000000000001</v>
      </c>
      <c r="M166" s="32">
        <f t="shared" si="38"/>
        <v>62.370000000000012</v>
      </c>
      <c r="N166" s="32">
        <f t="shared" si="38"/>
        <v>63.360000000000007</v>
      </c>
      <c r="O166" s="32">
        <f t="shared" si="38"/>
        <v>64.350000000000009</v>
      </c>
      <c r="P166" s="32">
        <f t="shared" si="38"/>
        <v>65.34</v>
      </c>
      <c r="Q166" s="32">
        <f t="shared" si="38"/>
        <v>66.330000000000013</v>
      </c>
      <c r="R166" s="32">
        <f t="shared" si="38"/>
        <v>67.320000000000007</v>
      </c>
      <c r="S166" s="32">
        <f t="shared" si="39"/>
        <v>68.31</v>
      </c>
      <c r="T166" s="186">
        <f t="shared" si="39"/>
        <v>69.300000000000011</v>
      </c>
      <c r="U166" s="32">
        <f t="shared" si="39"/>
        <v>70.290000000000006</v>
      </c>
      <c r="V166" s="32">
        <f t="shared" si="39"/>
        <v>71.28</v>
      </c>
      <c r="W166" s="32">
        <f t="shared" si="39"/>
        <v>72.27000000000001</v>
      </c>
      <c r="X166" s="32">
        <f t="shared" si="39"/>
        <v>73.260000000000019</v>
      </c>
      <c r="Y166" s="32">
        <f t="shared" si="39"/>
        <v>74.25</v>
      </c>
      <c r="Z166" s="32">
        <f t="shared" si="39"/>
        <v>75.240000000000009</v>
      </c>
      <c r="AA166" s="32">
        <f t="shared" si="39"/>
        <v>76.23</v>
      </c>
      <c r="AB166" s="32">
        <f t="shared" si="39"/>
        <v>77.220000000000013</v>
      </c>
      <c r="AC166" s="32">
        <f t="shared" si="39"/>
        <v>78.210000000000022</v>
      </c>
      <c r="AD166" s="32">
        <f t="shared" si="40"/>
        <v>79.2</v>
      </c>
      <c r="AE166" s="32">
        <f t="shared" si="40"/>
        <v>80.190000000000012</v>
      </c>
      <c r="AF166" s="32">
        <f t="shared" si="40"/>
        <v>81.180000000000007</v>
      </c>
      <c r="AG166" s="32">
        <f t="shared" si="40"/>
        <v>82.170000000000016</v>
      </c>
      <c r="AH166" s="32">
        <f t="shared" si="40"/>
        <v>83.160000000000011</v>
      </c>
      <c r="AI166" s="32">
        <f t="shared" si="40"/>
        <v>84.15</v>
      </c>
      <c r="AJ166" s="32">
        <f t="shared" si="40"/>
        <v>85.140000000000015</v>
      </c>
      <c r="AK166" s="32">
        <f t="shared" si="40"/>
        <v>86.13000000000001</v>
      </c>
      <c r="AL166" s="32">
        <f t="shared" si="40"/>
        <v>87.12</v>
      </c>
      <c r="AM166" s="32">
        <f t="shared" si="37"/>
        <v>88.110000000000014</v>
      </c>
      <c r="AN166" s="32">
        <f t="shared" si="37"/>
        <v>89.100000000000009</v>
      </c>
      <c r="AO166" s="32">
        <f t="shared" si="37"/>
        <v>90.090000000000018</v>
      </c>
      <c r="AP166" s="32">
        <f t="shared" si="37"/>
        <v>91.08</v>
      </c>
      <c r="AQ166" s="32">
        <f t="shared" si="37"/>
        <v>92.070000000000007</v>
      </c>
      <c r="AR166" s="32">
        <f t="shared" si="37"/>
        <v>93.060000000000016</v>
      </c>
      <c r="AS166" s="32">
        <f t="shared" si="37"/>
        <v>94.050000000000011</v>
      </c>
      <c r="AT166" s="32">
        <f t="shared" si="37"/>
        <v>95.04000000000002</v>
      </c>
      <c r="AU166" s="32">
        <f t="shared" si="37"/>
        <v>96.03</v>
      </c>
      <c r="AV166" s="32">
        <f t="shared" si="37"/>
        <v>97.02000000000001</v>
      </c>
      <c r="AW166" s="32">
        <f t="shared" si="37"/>
        <v>98.010000000000019</v>
      </c>
      <c r="AX166" s="32">
        <f t="shared" si="37"/>
        <v>99.000000000000014</v>
      </c>
      <c r="AY166" s="32">
        <f t="shared" si="37"/>
        <v>99.990000000000009</v>
      </c>
      <c r="AZ166" s="32">
        <f t="shared" si="37"/>
        <v>100.98</v>
      </c>
      <c r="BA166" s="16"/>
    </row>
    <row r="167" spans="1:53" hidden="1" x14ac:dyDescent="0.25">
      <c r="A167" s="16"/>
      <c r="B167" s="31">
        <v>31</v>
      </c>
      <c r="C167" s="32">
        <f t="shared" si="38"/>
        <v>52.569000000000003</v>
      </c>
      <c r="D167" s="32">
        <f t="shared" si="38"/>
        <v>53.559000000000012</v>
      </c>
      <c r="E167" s="32">
        <f t="shared" si="38"/>
        <v>54.549000000000007</v>
      </c>
      <c r="F167" s="32">
        <f t="shared" si="38"/>
        <v>55.539000000000009</v>
      </c>
      <c r="G167" s="32">
        <f t="shared" si="38"/>
        <v>56.529000000000003</v>
      </c>
      <c r="H167" s="32">
        <f t="shared" si="38"/>
        <v>57.519000000000005</v>
      </c>
      <c r="I167" s="32">
        <f t="shared" si="38"/>
        <v>58.509000000000007</v>
      </c>
      <c r="J167" s="32">
        <f t="shared" si="38"/>
        <v>59.499000000000009</v>
      </c>
      <c r="K167" s="32">
        <f t="shared" si="38"/>
        <v>60.489000000000004</v>
      </c>
      <c r="L167" s="32">
        <f t="shared" si="38"/>
        <v>61.479000000000006</v>
      </c>
      <c r="M167" s="32">
        <f t="shared" si="38"/>
        <v>62.469000000000001</v>
      </c>
      <c r="N167" s="32">
        <f t="shared" si="38"/>
        <v>63.459000000000003</v>
      </c>
      <c r="O167" s="32">
        <f t="shared" si="38"/>
        <v>64.448999999999998</v>
      </c>
      <c r="P167" s="32">
        <f t="shared" si="38"/>
        <v>65.438999999999993</v>
      </c>
      <c r="Q167" s="32">
        <f t="shared" si="38"/>
        <v>66.429000000000002</v>
      </c>
      <c r="R167" s="32">
        <f t="shared" si="38"/>
        <v>67.419000000000011</v>
      </c>
      <c r="S167" s="32">
        <f t="shared" si="39"/>
        <v>68.409000000000006</v>
      </c>
      <c r="T167" s="186">
        <f t="shared" si="39"/>
        <v>69.399000000000001</v>
      </c>
      <c r="U167" s="32">
        <f t="shared" si="39"/>
        <v>70.388999999999996</v>
      </c>
      <c r="V167" s="32">
        <f t="shared" si="39"/>
        <v>71.379000000000005</v>
      </c>
      <c r="W167" s="32">
        <f t="shared" si="39"/>
        <v>72.369</v>
      </c>
      <c r="X167" s="32">
        <f t="shared" si="39"/>
        <v>73.359000000000009</v>
      </c>
      <c r="Y167" s="32">
        <f t="shared" si="39"/>
        <v>74.349000000000004</v>
      </c>
      <c r="Z167" s="32">
        <f t="shared" si="39"/>
        <v>75.338999999999999</v>
      </c>
      <c r="AA167" s="32">
        <f t="shared" si="39"/>
        <v>76.329000000000008</v>
      </c>
      <c r="AB167" s="32">
        <f t="shared" si="39"/>
        <v>77.319000000000003</v>
      </c>
      <c r="AC167" s="32">
        <f t="shared" si="39"/>
        <v>78.308999999999997</v>
      </c>
      <c r="AD167" s="32">
        <f t="shared" si="40"/>
        <v>79.299000000000007</v>
      </c>
      <c r="AE167" s="32">
        <f t="shared" si="40"/>
        <v>80.289000000000001</v>
      </c>
      <c r="AF167" s="32">
        <f t="shared" si="40"/>
        <v>81.279000000000011</v>
      </c>
      <c r="AG167" s="32">
        <f t="shared" si="40"/>
        <v>82.268999999999991</v>
      </c>
      <c r="AH167" s="32">
        <f t="shared" si="40"/>
        <v>83.259</v>
      </c>
      <c r="AI167" s="32">
        <f t="shared" si="40"/>
        <v>84.249000000000009</v>
      </c>
      <c r="AJ167" s="32">
        <f t="shared" si="40"/>
        <v>85.239000000000004</v>
      </c>
      <c r="AK167" s="32">
        <f t="shared" si="40"/>
        <v>86.229000000000013</v>
      </c>
      <c r="AL167" s="32">
        <f t="shared" si="40"/>
        <v>87.218999999999994</v>
      </c>
      <c r="AM167" s="32">
        <f t="shared" si="37"/>
        <v>88.209000000000003</v>
      </c>
      <c r="AN167" s="32">
        <f t="shared" si="37"/>
        <v>89.199000000000012</v>
      </c>
      <c r="AO167" s="32">
        <f t="shared" si="37"/>
        <v>90.189000000000007</v>
      </c>
      <c r="AP167" s="32">
        <f t="shared" si="37"/>
        <v>91.179000000000002</v>
      </c>
      <c r="AQ167" s="32">
        <f t="shared" si="37"/>
        <v>92.168999999999997</v>
      </c>
      <c r="AR167" s="32">
        <f t="shared" si="37"/>
        <v>93.159000000000006</v>
      </c>
      <c r="AS167" s="32">
        <f t="shared" si="37"/>
        <v>94.149000000000015</v>
      </c>
      <c r="AT167" s="32">
        <f t="shared" si="37"/>
        <v>95.138999999999996</v>
      </c>
      <c r="AU167" s="32">
        <f t="shared" si="37"/>
        <v>96.129000000000005</v>
      </c>
      <c r="AV167" s="32">
        <f t="shared" si="37"/>
        <v>97.119</v>
      </c>
      <c r="AW167" s="32">
        <f t="shared" si="37"/>
        <v>98.109000000000009</v>
      </c>
      <c r="AX167" s="32">
        <f t="shared" si="37"/>
        <v>99.099000000000018</v>
      </c>
      <c r="AY167" s="32">
        <f t="shared" si="37"/>
        <v>100.089</v>
      </c>
      <c r="AZ167" s="32">
        <f t="shared" si="37"/>
        <v>101.07900000000001</v>
      </c>
      <c r="BA167" s="16"/>
    </row>
    <row r="168" spans="1:53" hidden="1" x14ac:dyDescent="0.25">
      <c r="A168" s="16"/>
      <c r="B168" s="31">
        <v>32</v>
      </c>
      <c r="C168" s="32">
        <f t="shared" si="38"/>
        <v>52.668000000000006</v>
      </c>
      <c r="D168" s="32">
        <f t="shared" si="38"/>
        <v>53.658000000000008</v>
      </c>
      <c r="E168" s="32">
        <f t="shared" si="38"/>
        <v>54.64800000000001</v>
      </c>
      <c r="F168" s="32">
        <f t="shared" si="38"/>
        <v>55.638000000000012</v>
      </c>
      <c r="G168" s="32">
        <f t="shared" si="38"/>
        <v>56.628000000000007</v>
      </c>
      <c r="H168" s="32">
        <f t="shared" si="38"/>
        <v>57.618000000000009</v>
      </c>
      <c r="I168" s="32">
        <f t="shared" si="38"/>
        <v>58.608000000000004</v>
      </c>
      <c r="J168" s="32">
        <f t="shared" si="38"/>
        <v>59.598000000000013</v>
      </c>
      <c r="K168" s="32">
        <f t="shared" si="38"/>
        <v>60.588000000000008</v>
      </c>
      <c r="L168" s="32">
        <f t="shared" si="38"/>
        <v>61.57800000000001</v>
      </c>
      <c r="M168" s="32">
        <f t="shared" si="38"/>
        <v>62.568000000000005</v>
      </c>
      <c r="N168" s="32">
        <f t="shared" si="38"/>
        <v>63.558000000000007</v>
      </c>
      <c r="O168" s="32">
        <f t="shared" si="38"/>
        <v>64.548000000000016</v>
      </c>
      <c r="P168" s="32">
        <f t="shared" si="38"/>
        <v>65.538000000000011</v>
      </c>
      <c r="Q168" s="32">
        <f t="shared" si="38"/>
        <v>66.528000000000006</v>
      </c>
      <c r="R168" s="32">
        <f t="shared" si="38"/>
        <v>67.518000000000015</v>
      </c>
      <c r="S168" s="32">
        <f t="shared" si="39"/>
        <v>68.50800000000001</v>
      </c>
      <c r="T168" s="186">
        <f t="shared" si="39"/>
        <v>69.498000000000019</v>
      </c>
      <c r="U168" s="32">
        <f t="shared" si="39"/>
        <v>70.488</v>
      </c>
      <c r="V168" s="32">
        <f t="shared" si="39"/>
        <v>71.478000000000009</v>
      </c>
      <c r="W168" s="32">
        <f t="shared" si="39"/>
        <v>72.468000000000018</v>
      </c>
      <c r="X168" s="32">
        <f t="shared" si="39"/>
        <v>73.458000000000013</v>
      </c>
      <c r="Y168" s="32">
        <f t="shared" si="39"/>
        <v>74.448000000000008</v>
      </c>
      <c r="Z168" s="32">
        <f t="shared" si="39"/>
        <v>75.438000000000002</v>
      </c>
      <c r="AA168" s="32">
        <f t="shared" si="39"/>
        <v>76.428000000000011</v>
      </c>
      <c r="AB168" s="32">
        <f t="shared" si="39"/>
        <v>77.418000000000021</v>
      </c>
      <c r="AC168" s="32">
        <f t="shared" si="39"/>
        <v>78.408000000000001</v>
      </c>
      <c r="AD168" s="32">
        <f t="shared" si="40"/>
        <v>79.39800000000001</v>
      </c>
      <c r="AE168" s="32">
        <f t="shared" si="40"/>
        <v>80.388000000000005</v>
      </c>
      <c r="AF168" s="32">
        <f t="shared" si="40"/>
        <v>81.378000000000014</v>
      </c>
      <c r="AG168" s="32">
        <f t="shared" si="40"/>
        <v>82.368000000000023</v>
      </c>
      <c r="AH168" s="32">
        <f t="shared" si="40"/>
        <v>83.358000000000004</v>
      </c>
      <c r="AI168" s="32">
        <f t="shared" si="40"/>
        <v>84.348000000000013</v>
      </c>
      <c r="AJ168" s="32">
        <f t="shared" si="40"/>
        <v>85.338000000000008</v>
      </c>
      <c r="AK168" s="32">
        <f t="shared" si="40"/>
        <v>86.328000000000017</v>
      </c>
      <c r="AL168" s="32">
        <f t="shared" si="40"/>
        <v>87.318000000000012</v>
      </c>
      <c r="AM168" s="32">
        <f t="shared" si="37"/>
        <v>88.308000000000007</v>
      </c>
      <c r="AN168" s="32">
        <f t="shared" si="37"/>
        <v>89.298000000000016</v>
      </c>
      <c r="AO168" s="32">
        <f t="shared" si="37"/>
        <v>90.288000000000011</v>
      </c>
      <c r="AP168" s="32">
        <f t="shared" si="37"/>
        <v>91.278000000000006</v>
      </c>
      <c r="AQ168" s="32">
        <f t="shared" si="37"/>
        <v>92.268000000000015</v>
      </c>
      <c r="AR168" s="32">
        <f t="shared" si="37"/>
        <v>93.25800000000001</v>
      </c>
      <c r="AS168" s="32">
        <f t="shared" si="37"/>
        <v>94.248000000000019</v>
      </c>
      <c r="AT168" s="32">
        <f t="shared" si="37"/>
        <v>95.238</v>
      </c>
      <c r="AU168" s="32">
        <f t="shared" si="37"/>
        <v>96.228000000000009</v>
      </c>
      <c r="AV168" s="32">
        <f t="shared" si="37"/>
        <v>97.218000000000018</v>
      </c>
      <c r="AW168" s="32">
        <f t="shared" si="37"/>
        <v>98.208000000000013</v>
      </c>
      <c r="AX168" s="32">
        <f t="shared" si="37"/>
        <v>99.198000000000022</v>
      </c>
      <c r="AY168" s="32">
        <f t="shared" si="37"/>
        <v>100.188</v>
      </c>
      <c r="AZ168" s="32">
        <f t="shared" si="37"/>
        <v>101.17800000000001</v>
      </c>
      <c r="BA168" s="16"/>
    </row>
    <row r="169" spans="1:53" hidden="1" x14ac:dyDescent="0.25">
      <c r="A169" s="16"/>
      <c r="B169" s="31">
        <v>33</v>
      </c>
      <c r="C169" s="32">
        <f t="shared" si="38"/>
        <v>52.767000000000003</v>
      </c>
      <c r="D169" s="32">
        <f t="shared" si="38"/>
        <v>53.757000000000005</v>
      </c>
      <c r="E169" s="32">
        <f t="shared" si="38"/>
        <v>54.747</v>
      </c>
      <c r="F169" s="32">
        <f t="shared" si="38"/>
        <v>55.737000000000009</v>
      </c>
      <c r="G169" s="32">
        <f t="shared" si="38"/>
        <v>56.727000000000004</v>
      </c>
      <c r="H169" s="32">
        <f t="shared" si="38"/>
        <v>57.717000000000006</v>
      </c>
      <c r="I169" s="32">
        <f t="shared" si="38"/>
        <v>58.707000000000001</v>
      </c>
      <c r="J169" s="32">
        <f t="shared" si="38"/>
        <v>59.697000000000003</v>
      </c>
      <c r="K169" s="32">
        <f t="shared" si="38"/>
        <v>60.687000000000005</v>
      </c>
      <c r="L169" s="32">
        <f t="shared" si="38"/>
        <v>61.677000000000007</v>
      </c>
      <c r="M169" s="32">
        <f t="shared" si="38"/>
        <v>62.667000000000002</v>
      </c>
      <c r="N169" s="32">
        <f t="shared" si="38"/>
        <v>63.657000000000004</v>
      </c>
      <c r="O169" s="32">
        <f t="shared" si="38"/>
        <v>64.647000000000006</v>
      </c>
      <c r="P169" s="32">
        <f t="shared" si="38"/>
        <v>65.637</v>
      </c>
      <c r="Q169" s="32">
        <f t="shared" si="38"/>
        <v>66.62700000000001</v>
      </c>
      <c r="R169" s="32">
        <f t="shared" si="38"/>
        <v>67.617000000000004</v>
      </c>
      <c r="S169" s="32">
        <f t="shared" si="39"/>
        <v>68.606999999999999</v>
      </c>
      <c r="T169" s="186">
        <f t="shared" si="39"/>
        <v>69.596999999999994</v>
      </c>
      <c r="U169" s="32">
        <f t="shared" si="39"/>
        <v>70.587000000000003</v>
      </c>
      <c r="V169" s="32">
        <f t="shared" si="39"/>
        <v>71.576999999999998</v>
      </c>
      <c r="W169" s="32">
        <f t="shared" si="39"/>
        <v>72.567000000000007</v>
      </c>
      <c r="X169" s="32">
        <f t="shared" si="39"/>
        <v>73.557000000000016</v>
      </c>
      <c r="Y169" s="32">
        <f t="shared" si="39"/>
        <v>74.546999999999997</v>
      </c>
      <c r="Z169" s="32">
        <f t="shared" si="39"/>
        <v>75.537000000000006</v>
      </c>
      <c r="AA169" s="32">
        <f t="shared" si="39"/>
        <v>76.527000000000001</v>
      </c>
      <c r="AB169" s="32">
        <f t="shared" si="39"/>
        <v>77.51700000000001</v>
      </c>
      <c r="AC169" s="32">
        <f t="shared" si="39"/>
        <v>78.507000000000005</v>
      </c>
      <c r="AD169" s="32">
        <f t="shared" si="40"/>
        <v>79.497</v>
      </c>
      <c r="AE169" s="32">
        <f t="shared" si="40"/>
        <v>80.487000000000009</v>
      </c>
      <c r="AF169" s="32">
        <f t="shared" si="40"/>
        <v>81.477000000000004</v>
      </c>
      <c r="AG169" s="32">
        <f t="shared" si="40"/>
        <v>82.466999999999999</v>
      </c>
      <c r="AH169" s="32">
        <f t="shared" si="40"/>
        <v>83.457000000000008</v>
      </c>
      <c r="AI169" s="32">
        <f t="shared" si="40"/>
        <v>84.447000000000003</v>
      </c>
      <c r="AJ169" s="32">
        <f t="shared" si="40"/>
        <v>85.437000000000012</v>
      </c>
      <c r="AK169" s="32">
        <f t="shared" si="40"/>
        <v>86.426999999999992</v>
      </c>
      <c r="AL169" s="32">
        <f t="shared" si="40"/>
        <v>87.417000000000002</v>
      </c>
      <c r="AM169" s="32">
        <f t="shared" si="37"/>
        <v>88.407000000000011</v>
      </c>
      <c r="AN169" s="32">
        <f t="shared" si="37"/>
        <v>89.397000000000006</v>
      </c>
      <c r="AO169" s="32">
        <f t="shared" si="37"/>
        <v>90.387000000000015</v>
      </c>
      <c r="AP169" s="32">
        <f t="shared" si="37"/>
        <v>91.376999999999995</v>
      </c>
      <c r="AQ169" s="32">
        <f t="shared" si="37"/>
        <v>92.367000000000004</v>
      </c>
      <c r="AR169" s="32">
        <f t="shared" si="37"/>
        <v>93.357000000000014</v>
      </c>
      <c r="AS169" s="32">
        <f t="shared" si="37"/>
        <v>94.347000000000008</v>
      </c>
      <c r="AT169" s="32">
        <f t="shared" si="37"/>
        <v>95.337000000000003</v>
      </c>
      <c r="AU169" s="32">
        <f t="shared" si="37"/>
        <v>96.326999999999998</v>
      </c>
      <c r="AV169" s="32">
        <f t="shared" si="37"/>
        <v>97.317000000000007</v>
      </c>
      <c r="AW169" s="32">
        <f t="shared" si="37"/>
        <v>98.307000000000016</v>
      </c>
      <c r="AX169" s="32">
        <f t="shared" si="37"/>
        <v>99.296999999999997</v>
      </c>
      <c r="AY169" s="32">
        <f t="shared" si="37"/>
        <v>100.28700000000001</v>
      </c>
      <c r="AZ169" s="32">
        <f t="shared" si="37"/>
        <v>101.277</v>
      </c>
      <c r="BA169" s="16"/>
    </row>
    <row r="170" spans="1:53" hidden="1" x14ac:dyDescent="0.25">
      <c r="A170" s="16"/>
      <c r="B170" s="31">
        <v>34</v>
      </c>
      <c r="C170" s="32">
        <f t="shared" si="38"/>
        <v>52.866000000000007</v>
      </c>
      <c r="D170" s="32">
        <f t="shared" si="38"/>
        <v>53.856000000000009</v>
      </c>
      <c r="E170" s="32">
        <f t="shared" si="38"/>
        <v>54.846000000000004</v>
      </c>
      <c r="F170" s="32">
        <f t="shared" si="38"/>
        <v>55.836000000000006</v>
      </c>
      <c r="G170" s="32">
        <f t="shared" si="38"/>
        <v>56.826000000000001</v>
      </c>
      <c r="H170" s="32">
        <f t="shared" si="38"/>
        <v>57.81600000000001</v>
      </c>
      <c r="I170" s="32">
        <f t="shared" si="38"/>
        <v>58.806000000000004</v>
      </c>
      <c r="J170" s="32">
        <f t="shared" si="38"/>
        <v>59.796000000000006</v>
      </c>
      <c r="K170" s="32">
        <f t="shared" si="38"/>
        <v>60.786000000000001</v>
      </c>
      <c r="L170" s="32">
        <f t="shared" si="38"/>
        <v>61.776000000000003</v>
      </c>
      <c r="M170" s="32">
        <f t="shared" si="38"/>
        <v>62.766000000000005</v>
      </c>
      <c r="N170" s="32">
        <f t="shared" si="38"/>
        <v>63.756000000000014</v>
      </c>
      <c r="O170" s="32">
        <f t="shared" si="38"/>
        <v>64.746000000000009</v>
      </c>
      <c r="P170" s="32">
        <f t="shared" si="38"/>
        <v>65.736000000000004</v>
      </c>
      <c r="Q170" s="32">
        <f t="shared" si="38"/>
        <v>66.726000000000013</v>
      </c>
      <c r="R170" s="32">
        <f t="shared" si="38"/>
        <v>67.716000000000022</v>
      </c>
      <c r="S170" s="32">
        <f t="shared" si="39"/>
        <v>68.706000000000017</v>
      </c>
      <c r="T170" s="186">
        <f t="shared" si="39"/>
        <v>69.696000000000012</v>
      </c>
      <c r="U170" s="32">
        <f t="shared" si="39"/>
        <v>70.686000000000007</v>
      </c>
      <c r="V170" s="32">
        <f t="shared" si="39"/>
        <v>71.676000000000016</v>
      </c>
      <c r="W170" s="32">
        <f t="shared" si="39"/>
        <v>72.666000000000011</v>
      </c>
      <c r="X170" s="32">
        <f t="shared" si="39"/>
        <v>73.65600000000002</v>
      </c>
      <c r="Y170" s="32">
        <f t="shared" si="39"/>
        <v>74.646000000000015</v>
      </c>
      <c r="Z170" s="32">
        <f t="shared" si="39"/>
        <v>75.63600000000001</v>
      </c>
      <c r="AA170" s="32">
        <f t="shared" si="39"/>
        <v>76.626000000000019</v>
      </c>
      <c r="AB170" s="32">
        <f t="shared" si="39"/>
        <v>77.616000000000014</v>
      </c>
      <c r="AC170" s="32">
        <f t="shared" si="39"/>
        <v>78.606000000000009</v>
      </c>
      <c r="AD170" s="32">
        <f t="shared" si="40"/>
        <v>79.596000000000018</v>
      </c>
      <c r="AE170" s="32">
        <f t="shared" si="40"/>
        <v>80.586000000000013</v>
      </c>
      <c r="AF170" s="32">
        <f t="shared" si="40"/>
        <v>81.576000000000022</v>
      </c>
      <c r="AG170" s="32">
        <f t="shared" si="40"/>
        <v>82.566000000000003</v>
      </c>
      <c r="AH170" s="32">
        <f t="shared" si="40"/>
        <v>83.556000000000012</v>
      </c>
      <c r="AI170" s="32">
        <f t="shared" si="40"/>
        <v>84.546000000000021</v>
      </c>
      <c r="AJ170" s="32">
        <f t="shared" si="40"/>
        <v>85.536000000000016</v>
      </c>
      <c r="AK170" s="32">
        <f t="shared" si="40"/>
        <v>86.526000000000025</v>
      </c>
      <c r="AL170" s="32">
        <f t="shared" si="40"/>
        <v>87.516000000000005</v>
      </c>
      <c r="AM170" s="32">
        <f t="shared" si="40"/>
        <v>88.506000000000014</v>
      </c>
      <c r="AN170" s="32">
        <f t="shared" si="40"/>
        <v>89.496000000000024</v>
      </c>
      <c r="AO170" s="32">
        <f t="shared" si="40"/>
        <v>90.486000000000018</v>
      </c>
      <c r="AP170" s="32">
        <f t="shared" si="40"/>
        <v>91.476000000000013</v>
      </c>
      <c r="AQ170" s="32">
        <f t="shared" si="40"/>
        <v>92.466000000000008</v>
      </c>
      <c r="AR170" s="32">
        <f t="shared" si="40"/>
        <v>93.456000000000017</v>
      </c>
      <c r="AS170" s="32">
        <f t="shared" si="40"/>
        <v>94.446000000000026</v>
      </c>
      <c r="AT170" s="32">
        <f t="shared" ref="AT170:AZ179" si="41">(AT$16-100+$B170/10)*0.9*1.1</f>
        <v>95.436000000000007</v>
      </c>
      <c r="AU170" s="32">
        <f t="shared" si="41"/>
        <v>96.426000000000016</v>
      </c>
      <c r="AV170" s="32">
        <f t="shared" si="41"/>
        <v>97.416000000000011</v>
      </c>
      <c r="AW170" s="32">
        <f t="shared" si="41"/>
        <v>98.40600000000002</v>
      </c>
      <c r="AX170" s="32">
        <f t="shared" si="41"/>
        <v>99.396000000000029</v>
      </c>
      <c r="AY170" s="32">
        <f t="shared" si="41"/>
        <v>100.38600000000001</v>
      </c>
      <c r="AZ170" s="32">
        <f t="shared" si="41"/>
        <v>101.37600000000002</v>
      </c>
      <c r="BA170" s="16"/>
    </row>
    <row r="171" spans="1:53" hidden="1" x14ac:dyDescent="0.25">
      <c r="A171" s="16"/>
      <c r="B171" s="31">
        <v>35</v>
      </c>
      <c r="C171" s="32">
        <f t="shared" si="38"/>
        <v>52.965000000000003</v>
      </c>
      <c r="D171" s="32">
        <f t="shared" si="38"/>
        <v>53.955000000000013</v>
      </c>
      <c r="E171" s="32">
        <f t="shared" si="38"/>
        <v>54.945000000000007</v>
      </c>
      <c r="F171" s="32">
        <f t="shared" si="38"/>
        <v>55.935000000000009</v>
      </c>
      <c r="G171" s="32">
        <f t="shared" si="38"/>
        <v>56.925000000000004</v>
      </c>
      <c r="H171" s="32">
        <f t="shared" si="38"/>
        <v>57.915000000000006</v>
      </c>
      <c r="I171" s="32">
        <f t="shared" si="38"/>
        <v>58.905000000000008</v>
      </c>
      <c r="J171" s="32">
        <f t="shared" si="38"/>
        <v>59.89500000000001</v>
      </c>
      <c r="K171" s="32">
        <f t="shared" si="38"/>
        <v>60.885000000000005</v>
      </c>
      <c r="L171" s="32">
        <f t="shared" si="38"/>
        <v>61.875000000000007</v>
      </c>
      <c r="M171" s="32">
        <f t="shared" si="38"/>
        <v>62.865000000000002</v>
      </c>
      <c r="N171" s="32">
        <f t="shared" si="38"/>
        <v>63.855000000000011</v>
      </c>
      <c r="O171" s="32">
        <f t="shared" si="38"/>
        <v>64.845000000000013</v>
      </c>
      <c r="P171" s="32">
        <f t="shared" si="38"/>
        <v>65.835000000000008</v>
      </c>
      <c r="Q171" s="32">
        <f t="shared" si="38"/>
        <v>66.825000000000003</v>
      </c>
      <c r="R171" s="32">
        <f t="shared" si="38"/>
        <v>67.814999999999998</v>
      </c>
      <c r="S171" s="32">
        <f t="shared" si="39"/>
        <v>68.805000000000007</v>
      </c>
      <c r="T171" s="186">
        <f t="shared" si="39"/>
        <v>69.795000000000002</v>
      </c>
      <c r="U171" s="32">
        <f t="shared" si="39"/>
        <v>70.785000000000011</v>
      </c>
      <c r="V171" s="32">
        <f t="shared" si="39"/>
        <v>71.775000000000006</v>
      </c>
      <c r="W171" s="32">
        <f t="shared" si="39"/>
        <v>72.765000000000015</v>
      </c>
      <c r="X171" s="32">
        <f t="shared" si="39"/>
        <v>73.75500000000001</v>
      </c>
      <c r="Y171" s="32">
        <f t="shared" si="39"/>
        <v>74.745000000000005</v>
      </c>
      <c r="Z171" s="32">
        <f t="shared" si="39"/>
        <v>75.735000000000014</v>
      </c>
      <c r="AA171" s="32">
        <f t="shared" si="39"/>
        <v>76.725000000000009</v>
      </c>
      <c r="AB171" s="32">
        <f t="shared" si="39"/>
        <v>77.715000000000018</v>
      </c>
      <c r="AC171" s="32">
        <f t="shared" si="39"/>
        <v>78.704999999999998</v>
      </c>
      <c r="AD171" s="32">
        <f t="shared" si="40"/>
        <v>79.695000000000007</v>
      </c>
      <c r="AE171" s="32">
        <f t="shared" si="40"/>
        <v>80.685000000000016</v>
      </c>
      <c r="AF171" s="32">
        <f t="shared" si="40"/>
        <v>81.675000000000011</v>
      </c>
      <c r="AG171" s="32">
        <f t="shared" si="40"/>
        <v>82.665000000000006</v>
      </c>
      <c r="AH171" s="32">
        <f t="shared" si="40"/>
        <v>83.655000000000001</v>
      </c>
      <c r="AI171" s="32">
        <f t="shared" si="40"/>
        <v>84.64500000000001</v>
      </c>
      <c r="AJ171" s="32">
        <f t="shared" si="40"/>
        <v>85.635000000000019</v>
      </c>
      <c r="AK171" s="32">
        <f t="shared" si="40"/>
        <v>86.625</v>
      </c>
      <c r="AL171" s="32">
        <f t="shared" si="40"/>
        <v>87.615000000000009</v>
      </c>
      <c r="AM171" s="32">
        <f t="shared" si="40"/>
        <v>88.605000000000004</v>
      </c>
      <c r="AN171" s="32">
        <f t="shared" si="40"/>
        <v>89.595000000000013</v>
      </c>
      <c r="AO171" s="32">
        <f t="shared" si="40"/>
        <v>90.585000000000022</v>
      </c>
      <c r="AP171" s="32">
        <f t="shared" si="40"/>
        <v>91.575000000000003</v>
      </c>
      <c r="AQ171" s="32">
        <f t="shared" si="40"/>
        <v>92.565000000000012</v>
      </c>
      <c r="AR171" s="32">
        <f t="shared" si="40"/>
        <v>93.555000000000007</v>
      </c>
      <c r="AS171" s="32">
        <f t="shared" si="40"/>
        <v>94.545000000000016</v>
      </c>
      <c r="AT171" s="32">
        <f t="shared" si="41"/>
        <v>95.535000000000011</v>
      </c>
      <c r="AU171" s="32">
        <f t="shared" si="41"/>
        <v>96.525000000000006</v>
      </c>
      <c r="AV171" s="32">
        <f t="shared" si="41"/>
        <v>97.515000000000015</v>
      </c>
      <c r="AW171" s="32">
        <f t="shared" si="41"/>
        <v>98.50500000000001</v>
      </c>
      <c r="AX171" s="32">
        <f t="shared" si="41"/>
        <v>99.495000000000005</v>
      </c>
      <c r="AY171" s="32">
        <f t="shared" si="41"/>
        <v>100.48500000000001</v>
      </c>
      <c r="AZ171" s="32">
        <f t="shared" si="41"/>
        <v>101.47500000000001</v>
      </c>
      <c r="BA171" s="16"/>
    </row>
    <row r="172" spans="1:53" hidden="1" x14ac:dyDescent="0.25">
      <c r="A172" s="16"/>
      <c r="B172" s="31">
        <v>36</v>
      </c>
      <c r="C172" s="32">
        <f t="shared" si="38"/>
        <v>53.064000000000007</v>
      </c>
      <c r="D172" s="32">
        <f t="shared" si="38"/>
        <v>54.054000000000002</v>
      </c>
      <c r="E172" s="32">
        <f t="shared" si="38"/>
        <v>55.044000000000004</v>
      </c>
      <c r="F172" s="32">
        <f t="shared" si="38"/>
        <v>56.034000000000013</v>
      </c>
      <c r="G172" s="32">
        <f t="shared" si="38"/>
        <v>57.024000000000008</v>
      </c>
      <c r="H172" s="32">
        <f t="shared" si="38"/>
        <v>58.01400000000001</v>
      </c>
      <c r="I172" s="32">
        <f t="shared" si="38"/>
        <v>59.004000000000005</v>
      </c>
      <c r="J172" s="32">
        <f t="shared" si="38"/>
        <v>59.994000000000007</v>
      </c>
      <c r="K172" s="32">
        <f t="shared" si="38"/>
        <v>60.984000000000009</v>
      </c>
      <c r="L172" s="32">
        <f t="shared" si="38"/>
        <v>61.974000000000011</v>
      </c>
      <c r="M172" s="32">
        <f t="shared" si="38"/>
        <v>62.964000000000006</v>
      </c>
      <c r="N172" s="32">
        <f t="shared" si="38"/>
        <v>63.954000000000001</v>
      </c>
      <c r="O172" s="32">
        <f t="shared" si="38"/>
        <v>64.944000000000003</v>
      </c>
      <c r="P172" s="32">
        <f t="shared" si="38"/>
        <v>65.933999999999997</v>
      </c>
      <c r="Q172" s="32">
        <f t="shared" si="38"/>
        <v>66.924000000000007</v>
      </c>
      <c r="R172" s="32">
        <f t="shared" si="38"/>
        <v>67.914000000000001</v>
      </c>
      <c r="S172" s="32">
        <f t="shared" si="39"/>
        <v>68.903999999999996</v>
      </c>
      <c r="T172" s="186">
        <f t="shared" si="39"/>
        <v>69.894000000000005</v>
      </c>
      <c r="U172" s="32">
        <f t="shared" si="39"/>
        <v>70.884</v>
      </c>
      <c r="V172" s="32">
        <f t="shared" si="39"/>
        <v>71.874000000000009</v>
      </c>
      <c r="W172" s="32">
        <f t="shared" si="39"/>
        <v>72.864000000000004</v>
      </c>
      <c r="X172" s="32">
        <f t="shared" si="39"/>
        <v>73.854000000000013</v>
      </c>
      <c r="Y172" s="32">
        <f t="shared" si="39"/>
        <v>74.843999999999994</v>
      </c>
      <c r="Z172" s="32">
        <f t="shared" si="39"/>
        <v>75.834000000000003</v>
      </c>
      <c r="AA172" s="32">
        <f t="shared" si="39"/>
        <v>76.824000000000012</v>
      </c>
      <c r="AB172" s="32">
        <f t="shared" si="39"/>
        <v>77.814000000000007</v>
      </c>
      <c r="AC172" s="32">
        <f t="shared" si="39"/>
        <v>78.804000000000002</v>
      </c>
      <c r="AD172" s="32">
        <f t="shared" si="40"/>
        <v>79.793999999999997</v>
      </c>
      <c r="AE172" s="32">
        <f t="shared" si="40"/>
        <v>80.784000000000006</v>
      </c>
      <c r="AF172" s="32">
        <f t="shared" si="40"/>
        <v>81.774000000000015</v>
      </c>
      <c r="AG172" s="32">
        <f t="shared" si="40"/>
        <v>82.763999999999996</v>
      </c>
      <c r="AH172" s="32">
        <f t="shared" si="40"/>
        <v>83.754000000000005</v>
      </c>
      <c r="AI172" s="32">
        <f t="shared" si="40"/>
        <v>84.744</v>
      </c>
      <c r="AJ172" s="32">
        <f t="shared" si="40"/>
        <v>85.734000000000009</v>
      </c>
      <c r="AK172" s="32">
        <f t="shared" si="40"/>
        <v>86.724000000000004</v>
      </c>
      <c r="AL172" s="32">
        <f t="shared" si="40"/>
        <v>87.713999999999999</v>
      </c>
      <c r="AM172" s="32">
        <f t="shared" si="40"/>
        <v>88.704000000000008</v>
      </c>
      <c r="AN172" s="32">
        <f t="shared" si="40"/>
        <v>89.694000000000003</v>
      </c>
      <c r="AO172" s="32">
        <f t="shared" si="40"/>
        <v>90.684000000000012</v>
      </c>
      <c r="AP172" s="32">
        <f t="shared" si="40"/>
        <v>91.674000000000007</v>
      </c>
      <c r="AQ172" s="32">
        <f t="shared" si="40"/>
        <v>92.664000000000001</v>
      </c>
      <c r="AR172" s="32">
        <f t="shared" si="40"/>
        <v>93.654000000000011</v>
      </c>
      <c r="AS172" s="32">
        <f t="shared" si="40"/>
        <v>94.644000000000005</v>
      </c>
      <c r="AT172" s="32">
        <f t="shared" si="41"/>
        <v>95.634</v>
      </c>
      <c r="AU172" s="32">
        <f t="shared" si="41"/>
        <v>96.624000000000009</v>
      </c>
      <c r="AV172" s="32">
        <f t="shared" si="41"/>
        <v>97.614000000000004</v>
      </c>
      <c r="AW172" s="32">
        <f t="shared" si="41"/>
        <v>98.604000000000013</v>
      </c>
      <c r="AX172" s="32">
        <f t="shared" si="41"/>
        <v>99.593999999999994</v>
      </c>
      <c r="AY172" s="32">
        <f t="shared" si="41"/>
        <v>100.584</v>
      </c>
      <c r="AZ172" s="32">
        <f t="shared" si="41"/>
        <v>101.57400000000001</v>
      </c>
      <c r="BA172" s="16"/>
    </row>
    <row r="173" spans="1:53" hidden="1" x14ac:dyDescent="0.25">
      <c r="A173" s="16"/>
      <c r="B173" s="31">
        <v>37</v>
      </c>
      <c r="C173" s="32">
        <f t="shared" si="38"/>
        <v>53.163000000000011</v>
      </c>
      <c r="D173" s="32">
        <f t="shared" si="38"/>
        <v>54.153000000000006</v>
      </c>
      <c r="E173" s="32">
        <f t="shared" si="38"/>
        <v>55.143000000000008</v>
      </c>
      <c r="F173" s="32">
        <f t="shared" si="38"/>
        <v>56.133000000000003</v>
      </c>
      <c r="G173" s="32">
        <f t="shared" si="38"/>
        <v>57.123000000000012</v>
      </c>
      <c r="H173" s="32">
        <f t="shared" si="38"/>
        <v>58.113000000000014</v>
      </c>
      <c r="I173" s="32">
        <f t="shared" si="38"/>
        <v>59.103000000000009</v>
      </c>
      <c r="J173" s="32">
        <f t="shared" si="38"/>
        <v>60.093000000000011</v>
      </c>
      <c r="K173" s="32">
        <f t="shared" si="38"/>
        <v>61.083000000000006</v>
      </c>
      <c r="L173" s="32">
        <f t="shared" si="38"/>
        <v>62.073000000000015</v>
      </c>
      <c r="M173" s="32">
        <f t="shared" si="38"/>
        <v>63.063000000000009</v>
      </c>
      <c r="N173" s="32">
        <f t="shared" si="38"/>
        <v>64.053000000000011</v>
      </c>
      <c r="O173" s="32">
        <f t="shared" si="38"/>
        <v>65.043000000000006</v>
      </c>
      <c r="P173" s="32">
        <f t="shared" si="38"/>
        <v>66.033000000000001</v>
      </c>
      <c r="Q173" s="32">
        <f t="shared" si="38"/>
        <v>67.02300000000001</v>
      </c>
      <c r="R173" s="32">
        <f t="shared" si="38"/>
        <v>68.013000000000005</v>
      </c>
      <c r="S173" s="32">
        <f t="shared" si="39"/>
        <v>69.003000000000014</v>
      </c>
      <c r="T173" s="186">
        <f t="shared" si="39"/>
        <v>69.993000000000009</v>
      </c>
      <c r="U173" s="32">
        <f t="shared" si="39"/>
        <v>70.983000000000004</v>
      </c>
      <c r="V173" s="32">
        <f t="shared" si="39"/>
        <v>71.973000000000013</v>
      </c>
      <c r="W173" s="32">
        <f t="shared" si="39"/>
        <v>72.963000000000008</v>
      </c>
      <c r="X173" s="32">
        <f t="shared" si="39"/>
        <v>73.953000000000017</v>
      </c>
      <c r="Y173" s="32">
        <f t="shared" si="39"/>
        <v>74.943000000000012</v>
      </c>
      <c r="Z173" s="32">
        <f t="shared" si="39"/>
        <v>75.933000000000007</v>
      </c>
      <c r="AA173" s="32">
        <f t="shared" si="39"/>
        <v>76.923000000000016</v>
      </c>
      <c r="AB173" s="32">
        <f t="shared" si="39"/>
        <v>77.913000000000011</v>
      </c>
      <c r="AC173" s="32">
        <f t="shared" si="39"/>
        <v>78.903000000000006</v>
      </c>
      <c r="AD173" s="32">
        <f t="shared" si="40"/>
        <v>79.893000000000015</v>
      </c>
      <c r="AE173" s="32">
        <f t="shared" si="40"/>
        <v>80.88300000000001</v>
      </c>
      <c r="AF173" s="32">
        <f t="shared" si="40"/>
        <v>81.873000000000019</v>
      </c>
      <c r="AG173" s="32">
        <f t="shared" si="40"/>
        <v>82.863</v>
      </c>
      <c r="AH173" s="32">
        <f t="shared" si="40"/>
        <v>83.853000000000009</v>
      </c>
      <c r="AI173" s="32">
        <f t="shared" si="40"/>
        <v>84.843000000000018</v>
      </c>
      <c r="AJ173" s="32">
        <f t="shared" si="40"/>
        <v>85.833000000000013</v>
      </c>
      <c r="AK173" s="32">
        <f t="shared" si="40"/>
        <v>86.823000000000008</v>
      </c>
      <c r="AL173" s="32">
        <f t="shared" si="40"/>
        <v>87.813000000000002</v>
      </c>
      <c r="AM173" s="32">
        <f t="shared" si="40"/>
        <v>88.803000000000011</v>
      </c>
      <c r="AN173" s="32">
        <f t="shared" si="40"/>
        <v>89.793000000000021</v>
      </c>
      <c r="AO173" s="32">
        <f t="shared" si="40"/>
        <v>90.783000000000015</v>
      </c>
      <c r="AP173" s="32">
        <f t="shared" si="40"/>
        <v>91.77300000000001</v>
      </c>
      <c r="AQ173" s="32">
        <f t="shared" si="40"/>
        <v>92.763000000000005</v>
      </c>
      <c r="AR173" s="32">
        <f t="shared" si="40"/>
        <v>93.753000000000014</v>
      </c>
      <c r="AS173" s="32">
        <f t="shared" si="40"/>
        <v>94.743000000000023</v>
      </c>
      <c r="AT173" s="32">
        <f t="shared" si="41"/>
        <v>95.733000000000004</v>
      </c>
      <c r="AU173" s="32">
        <f t="shared" si="41"/>
        <v>96.723000000000013</v>
      </c>
      <c r="AV173" s="32">
        <f t="shared" si="41"/>
        <v>97.713000000000008</v>
      </c>
      <c r="AW173" s="32">
        <f t="shared" si="41"/>
        <v>98.703000000000017</v>
      </c>
      <c r="AX173" s="32">
        <f t="shared" si="41"/>
        <v>99.693000000000012</v>
      </c>
      <c r="AY173" s="32">
        <f t="shared" si="41"/>
        <v>100.68300000000001</v>
      </c>
      <c r="AZ173" s="32">
        <f t="shared" si="41"/>
        <v>101.67300000000002</v>
      </c>
      <c r="BA173" s="16"/>
    </row>
    <row r="174" spans="1:53" hidden="1" x14ac:dyDescent="0.25">
      <c r="A174" s="16"/>
      <c r="B174" s="31">
        <v>38</v>
      </c>
      <c r="C174" s="32">
        <f t="shared" si="38"/>
        <v>53.262000000000008</v>
      </c>
      <c r="D174" s="32">
        <f t="shared" si="38"/>
        <v>54.252000000000002</v>
      </c>
      <c r="E174" s="32">
        <f t="shared" si="38"/>
        <v>55.242000000000004</v>
      </c>
      <c r="F174" s="32">
        <f t="shared" si="38"/>
        <v>56.231999999999999</v>
      </c>
      <c r="G174" s="32">
        <f t="shared" si="38"/>
        <v>57.222000000000001</v>
      </c>
      <c r="H174" s="32">
        <f t="shared" si="38"/>
        <v>58.212000000000003</v>
      </c>
      <c r="I174" s="32">
        <f t="shared" si="38"/>
        <v>59.202000000000005</v>
      </c>
      <c r="J174" s="32">
        <f t="shared" si="38"/>
        <v>60.192</v>
      </c>
      <c r="K174" s="32">
        <f t="shared" si="38"/>
        <v>61.182000000000002</v>
      </c>
      <c r="L174" s="32">
        <f t="shared" si="38"/>
        <v>62.172000000000004</v>
      </c>
      <c r="M174" s="32">
        <f t="shared" si="38"/>
        <v>63.162000000000006</v>
      </c>
      <c r="N174" s="32">
        <f t="shared" si="38"/>
        <v>64.152000000000001</v>
      </c>
      <c r="O174" s="32">
        <f t="shared" si="38"/>
        <v>65.14200000000001</v>
      </c>
      <c r="P174" s="32">
        <f t="shared" si="38"/>
        <v>66.132000000000005</v>
      </c>
      <c r="Q174" s="32">
        <f t="shared" si="38"/>
        <v>67.122</v>
      </c>
      <c r="R174" s="32">
        <f t="shared" si="38"/>
        <v>68.112000000000009</v>
      </c>
      <c r="S174" s="32">
        <f t="shared" si="39"/>
        <v>69.102000000000004</v>
      </c>
      <c r="T174" s="186">
        <f t="shared" si="39"/>
        <v>70.091999999999999</v>
      </c>
      <c r="U174" s="32">
        <f t="shared" si="39"/>
        <v>71.082000000000008</v>
      </c>
      <c r="V174" s="32">
        <f t="shared" si="39"/>
        <v>72.072000000000003</v>
      </c>
      <c r="W174" s="32">
        <f t="shared" si="39"/>
        <v>73.062000000000012</v>
      </c>
      <c r="X174" s="32">
        <f t="shared" si="39"/>
        <v>74.051999999999992</v>
      </c>
      <c r="Y174" s="32">
        <f t="shared" si="39"/>
        <v>75.042000000000002</v>
      </c>
      <c r="Z174" s="32">
        <f t="shared" si="39"/>
        <v>76.032000000000011</v>
      </c>
      <c r="AA174" s="32">
        <f t="shared" si="39"/>
        <v>77.022000000000006</v>
      </c>
      <c r="AB174" s="32">
        <f t="shared" si="39"/>
        <v>78.012000000000015</v>
      </c>
      <c r="AC174" s="32">
        <f t="shared" si="39"/>
        <v>79.001999999999995</v>
      </c>
      <c r="AD174" s="32">
        <f t="shared" si="40"/>
        <v>79.992000000000004</v>
      </c>
      <c r="AE174" s="32">
        <f t="shared" si="40"/>
        <v>80.982000000000014</v>
      </c>
      <c r="AF174" s="32">
        <f t="shared" si="40"/>
        <v>81.972000000000008</v>
      </c>
      <c r="AG174" s="32">
        <f t="shared" si="40"/>
        <v>82.962000000000003</v>
      </c>
      <c r="AH174" s="32">
        <f t="shared" si="40"/>
        <v>83.951999999999998</v>
      </c>
      <c r="AI174" s="32">
        <f t="shared" si="40"/>
        <v>84.942000000000007</v>
      </c>
      <c r="AJ174" s="32">
        <f t="shared" si="40"/>
        <v>85.932000000000016</v>
      </c>
      <c r="AK174" s="32">
        <f t="shared" si="40"/>
        <v>86.921999999999997</v>
      </c>
      <c r="AL174" s="32">
        <f t="shared" si="40"/>
        <v>87.912000000000006</v>
      </c>
      <c r="AM174" s="32">
        <f t="shared" si="40"/>
        <v>88.902000000000001</v>
      </c>
      <c r="AN174" s="32">
        <f t="shared" si="40"/>
        <v>89.89200000000001</v>
      </c>
      <c r="AO174" s="32">
        <f t="shared" si="40"/>
        <v>90.882000000000019</v>
      </c>
      <c r="AP174" s="32">
        <f t="shared" si="40"/>
        <v>91.872</v>
      </c>
      <c r="AQ174" s="32">
        <f t="shared" si="40"/>
        <v>92.862000000000009</v>
      </c>
      <c r="AR174" s="32">
        <f t="shared" si="40"/>
        <v>93.852000000000004</v>
      </c>
      <c r="AS174" s="32">
        <f t="shared" si="40"/>
        <v>94.842000000000013</v>
      </c>
      <c r="AT174" s="32">
        <f t="shared" si="41"/>
        <v>95.832000000000008</v>
      </c>
      <c r="AU174" s="32">
        <f t="shared" si="41"/>
        <v>96.822000000000003</v>
      </c>
      <c r="AV174" s="32">
        <f t="shared" si="41"/>
        <v>97.812000000000012</v>
      </c>
      <c r="AW174" s="32">
        <f t="shared" si="41"/>
        <v>98.802000000000007</v>
      </c>
      <c r="AX174" s="32">
        <f t="shared" si="41"/>
        <v>99.792000000000002</v>
      </c>
      <c r="AY174" s="32">
        <f t="shared" si="41"/>
        <v>100.78200000000001</v>
      </c>
      <c r="AZ174" s="32">
        <f t="shared" si="41"/>
        <v>101.77200000000001</v>
      </c>
      <c r="BA174" s="16"/>
    </row>
    <row r="175" spans="1:53" hidden="1" x14ac:dyDescent="0.25">
      <c r="A175" s="16"/>
      <c r="B175" s="31">
        <v>39</v>
      </c>
      <c r="C175" s="32">
        <f t="shared" si="38"/>
        <v>53.361000000000004</v>
      </c>
      <c r="D175" s="32">
        <f t="shared" si="38"/>
        <v>54.350999999999999</v>
      </c>
      <c r="E175" s="32">
        <f t="shared" si="38"/>
        <v>55.341000000000008</v>
      </c>
      <c r="F175" s="32">
        <f t="shared" si="38"/>
        <v>56.331000000000003</v>
      </c>
      <c r="G175" s="32">
        <f t="shared" si="38"/>
        <v>57.321000000000005</v>
      </c>
      <c r="H175" s="32">
        <f t="shared" si="38"/>
        <v>58.311</v>
      </c>
      <c r="I175" s="32">
        <f t="shared" si="38"/>
        <v>59.301000000000002</v>
      </c>
      <c r="J175" s="32">
        <f t="shared" si="38"/>
        <v>60.291000000000004</v>
      </c>
      <c r="K175" s="32">
        <f t="shared" si="38"/>
        <v>61.281000000000006</v>
      </c>
      <c r="L175" s="32">
        <f t="shared" si="38"/>
        <v>62.271000000000008</v>
      </c>
      <c r="M175" s="32">
        <f t="shared" si="38"/>
        <v>63.261000000000003</v>
      </c>
      <c r="N175" s="32">
        <f t="shared" si="38"/>
        <v>64.251000000000005</v>
      </c>
      <c r="O175" s="32">
        <f t="shared" si="38"/>
        <v>65.241000000000014</v>
      </c>
      <c r="P175" s="32">
        <f t="shared" si="38"/>
        <v>66.231000000000009</v>
      </c>
      <c r="Q175" s="32">
        <f t="shared" si="38"/>
        <v>67.221000000000018</v>
      </c>
      <c r="R175" s="32">
        <f t="shared" si="38"/>
        <v>68.211000000000013</v>
      </c>
      <c r="S175" s="32">
        <f t="shared" si="39"/>
        <v>69.201000000000008</v>
      </c>
      <c r="T175" s="186">
        <f t="shared" si="39"/>
        <v>70.191000000000017</v>
      </c>
      <c r="U175" s="32">
        <f t="shared" si="39"/>
        <v>71.181000000000012</v>
      </c>
      <c r="V175" s="32">
        <f t="shared" si="39"/>
        <v>72.171000000000021</v>
      </c>
      <c r="W175" s="32">
        <f t="shared" si="39"/>
        <v>73.161000000000016</v>
      </c>
      <c r="X175" s="32">
        <f t="shared" si="39"/>
        <v>74.151000000000025</v>
      </c>
      <c r="Y175" s="32">
        <f t="shared" si="39"/>
        <v>75.141000000000005</v>
      </c>
      <c r="Z175" s="32">
        <f t="shared" si="39"/>
        <v>76.131000000000014</v>
      </c>
      <c r="AA175" s="32">
        <f t="shared" si="39"/>
        <v>77.121000000000024</v>
      </c>
      <c r="AB175" s="32">
        <f t="shared" si="39"/>
        <v>78.111000000000018</v>
      </c>
      <c r="AC175" s="32">
        <f t="shared" si="39"/>
        <v>79.101000000000013</v>
      </c>
      <c r="AD175" s="32">
        <f t="shared" si="40"/>
        <v>80.091000000000008</v>
      </c>
      <c r="AE175" s="32">
        <f t="shared" si="40"/>
        <v>81.081000000000017</v>
      </c>
      <c r="AF175" s="32">
        <f t="shared" si="40"/>
        <v>82.071000000000026</v>
      </c>
      <c r="AG175" s="32">
        <f t="shared" si="40"/>
        <v>83.061000000000007</v>
      </c>
      <c r="AH175" s="32">
        <f t="shared" si="40"/>
        <v>84.051000000000016</v>
      </c>
      <c r="AI175" s="32">
        <f t="shared" si="40"/>
        <v>85.041000000000011</v>
      </c>
      <c r="AJ175" s="32">
        <f t="shared" si="40"/>
        <v>86.03100000000002</v>
      </c>
      <c r="AK175" s="32">
        <f t="shared" si="40"/>
        <v>87.021000000000015</v>
      </c>
      <c r="AL175" s="32">
        <f t="shared" si="40"/>
        <v>88.01100000000001</v>
      </c>
      <c r="AM175" s="32">
        <f t="shared" si="40"/>
        <v>89.001000000000019</v>
      </c>
      <c r="AN175" s="32">
        <f t="shared" si="40"/>
        <v>89.991000000000014</v>
      </c>
      <c r="AO175" s="32">
        <f t="shared" si="40"/>
        <v>90.981000000000023</v>
      </c>
      <c r="AP175" s="32">
        <f t="shared" si="40"/>
        <v>91.971000000000018</v>
      </c>
      <c r="AQ175" s="32">
        <f t="shared" si="40"/>
        <v>92.961000000000013</v>
      </c>
      <c r="AR175" s="32">
        <f t="shared" si="40"/>
        <v>93.951000000000022</v>
      </c>
      <c r="AS175" s="32">
        <f t="shared" si="40"/>
        <v>94.941000000000017</v>
      </c>
      <c r="AT175" s="32">
        <f t="shared" si="41"/>
        <v>95.931000000000012</v>
      </c>
      <c r="AU175" s="32">
        <f t="shared" si="41"/>
        <v>96.921000000000021</v>
      </c>
      <c r="AV175" s="32">
        <f t="shared" si="41"/>
        <v>97.911000000000016</v>
      </c>
      <c r="AW175" s="32">
        <f t="shared" si="41"/>
        <v>98.901000000000025</v>
      </c>
      <c r="AX175" s="32">
        <f t="shared" si="41"/>
        <v>99.891000000000005</v>
      </c>
      <c r="AY175" s="32">
        <f t="shared" si="41"/>
        <v>100.88100000000001</v>
      </c>
      <c r="AZ175" s="32">
        <f t="shared" si="41"/>
        <v>101.87100000000002</v>
      </c>
      <c r="BA175" s="16"/>
    </row>
    <row r="176" spans="1:53" hidden="1" x14ac:dyDescent="0.25">
      <c r="A176" s="16"/>
      <c r="B176" s="31">
        <v>40</v>
      </c>
      <c r="C176" s="32">
        <f t="shared" si="38"/>
        <v>53.460000000000008</v>
      </c>
      <c r="D176" s="32">
        <f t="shared" si="38"/>
        <v>54.45</v>
      </c>
      <c r="E176" s="32">
        <f t="shared" si="38"/>
        <v>55.440000000000005</v>
      </c>
      <c r="F176" s="32">
        <f t="shared" si="38"/>
        <v>56.430000000000007</v>
      </c>
      <c r="G176" s="32">
        <f t="shared" si="38"/>
        <v>57.420000000000009</v>
      </c>
      <c r="H176" s="32">
        <f t="shared" si="38"/>
        <v>58.410000000000004</v>
      </c>
      <c r="I176" s="32">
        <f t="shared" si="38"/>
        <v>59.400000000000006</v>
      </c>
      <c r="J176" s="32">
        <f t="shared" si="38"/>
        <v>60.39</v>
      </c>
      <c r="K176" s="32">
        <f t="shared" si="38"/>
        <v>61.38000000000001</v>
      </c>
      <c r="L176" s="32">
        <f t="shared" si="38"/>
        <v>62.370000000000012</v>
      </c>
      <c r="M176" s="32">
        <f t="shared" si="38"/>
        <v>63.360000000000007</v>
      </c>
      <c r="N176" s="32">
        <f t="shared" si="38"/>
        <v>64.350000000000009</v>
      </c>
      <c r="O176" s="32">
        <f t="shared" si="38"/>
        <v>65.34</v>
      </c>
      <c r="P176" s="32">
        <f t="shared" si="38"/>
        <v>66.330000000000013</v>
      </c>
      <c r="Q176" s="32">
        <f t="shared" si="38"/>
        <v>67.320000000000007</v>
      </c>
      <c r="R176" s="32">
        <f t="shared" si="38"/>
        <v>68.31</v>
      </c>
      <c r="S176" s="32">
        <f t="shared" si="39"/>
        <v>69.300000000000011</v>
      </c>
      <c r="T176" s="186">
        <f t="shared" si="39"/>
        <v>70.290000000000006</v>
      </c>
      <c r="U176" s="32">
        <f t="shared" si="39"/>
        <v>71.28</v>
      </c>
      <c r="V176" s="32">
        <f t="shared" si="39"/>
        <v>72.27000000000001</v>
      </c>
      <c r="W176" s="32">
        <f t="shared" si="39"/>
        <v>73.260000000000019</v>
      </c>
      <c r="X176" s="32">
        <f t="shared" si="39"/>
        <v>74.25</v>
      </c>
      <c r="Y176" s="32">
        <f t="shared" si="39"/>
        <v>75.240000000000009</v>
      </c>
      <c r="Z176" s="32">
        <f t="shared" si="39"/>
        <v>76.23</v>
      </c>
      <c r="AA176" s="32">
        <f t="shared" si="39"/>
        <v>77.220000000000013</v>
      </c>
      <c r="AB176" s="32">
        <f t="shared" si="39"/>
        <v>78.210000000000022</v>
      </c>
      <c r="AC176" s="32">
        <f t="shared" si="39"/>
        <v>79.2</v>
      </c>
      <c r="AD176" s="32">
        <f t="shared" si="40"/>
        <v>80.190000000000012</v>
      </c>
      <c r="AE176" s="32">
        <f t="shared" si="40"/>
        <v>81.180000000000007</v>
      </c>
      <c r="AF176" s="32">
        <f t="shared" si="40"/>
        <v>82.170000000000016</v>
      </c>
      <c r="AG176" s="32">
        <f t="shared" si="40"/>
        <v>83.160000000000011</v>
      </c>
      <c r="AH176" s="32">
        <f t="shared" si="40"/>
        <v>84.15</v>
      </c>
      <c r="AI176" s="32">
        <f t="shared" si="40"/>
        <v>85.140000000000015</v>
      </c>
      <c r="AJ176" s="32">
        <f t="shared" si="40"/>
        <v>86.13000000000001</v>
      </c>
      <c r="AK176" s="32">
        <f t="shared" si="40"/>
        <v>87.12</v>
      </c>
      <c r="AL176" s="32">
        <f t="shared" si="40"/>
        <v>88.110000000000014</v>
      </c>
      <c r="AM176" s="32">
        <f t="shared" si="40"/>
        <v>89.100000000000009</v>
      </c>
      <c r="AN176" s="32">
        <f t="shared" si="40"/>
        <v>90.090000000000018</v>
      </c>
      <c r="AO176" s="32">
        <f t="shared" si="40"/>
        <v>91.08</v>
      </c>
      <c r="AP176" s="32">
        <f t="shared" si="40"/>
        <v>92.070000000000007</v>
      </c>
      <c r="AQ176" s="32">
        <f t="shared" si="40"/>
        <v>93.060000000000016</v>
      </c>
      <c r="AR176" s="32">
        <f t="shared" si="40"/>
        <v>94.050000000000011</v>
      </c>
      <c r="AS176" s="32">
        <f t="shared" si="40"/>
        <v>95.04000000000002</v>
      </c>
      <c r="AT176" s="32">
        <f t="shared" si="41"/>
        <v>96.03</v>
      </c>
      <c r="AU176" s="32">
        <f t="shared" si="41"/>
        <v>97.02000000000001</v>
      </c>
      <c r="AV176" s="32">
        <f t="shared" si="41"/>
        <v>98.010000000000019</v>
      </c>
      <c r="AW176" s="32">
        <f t="shared" si="41"/>
        <v>99.000000000000014</v>
      </c>
      <c r="AX176" s="32">
        <f t="shared" si="41"/>
        <v>99.990000000000009</v>
      </c>
      <c r="AY176" s="32">
        <f t="shared" si="41"/>
        <v>100.98</v>
      </c>
      <c r="AZ176" s="32">
        <f t="shared" si="41"/>
        <v>101.97000000000001</v>
      </c>
      <c r="BA176" s="16"/>
    </row>
    <row r="177" spans="1:53" hidden="1" x14ac:dyDescent="0.25">
      <c r="A177" s="16"/>
      <c r="B177" s="31">
        <v>41</v>
      </c>
      <c r="C177" s="32">
        <f t="shared" si="38"/>
        <v>53.559000000000012</v>
      </c>
      <c r="D177" s="32">
        <f t="shared" si="38"/>
        <v>54.549000000000007</v>
      </c>
      <c r="E177" s="32">
        <f t="shared" si="38"/>
        <v>55.539000000000009</v>
      </c>
      <c r="F177" s="32">
        <f t="shared" si="38"/>
        <v>56.529000000000003</v>
      </c>
      <c r="G177" s="32">
        <f t="shared" si="38"/>
        <v>57.519000000000005</v>
      </c>
      <c r="H177" s="32">
        <f t="shared" si="38"/>
        <v>58.509000000000007</v>
      </c>
      <c r="I177" s="32">
        <f t="shared" si="38"/>
        <v>59.499000000000009</v>
      </c>
      <c r="J177" s="32">
        <f t="shared" si="38"/>
        <v>60.489000000000004</v>
      </c>
      <c r="K177" s="32">
        <f t="shared" ref="K177:Z192" si="42">(K$16-100+$B177/10)*0.9*1.1</f>
        <v>61.479000000000006</v>
      </c>
      <c r="L177" s="32">
        <f t="shared" si="42"/>
        <v>62.469000000000001</v>
      </c>
      <c r="M177" s="32">
        <f t="shared" si="42"/>
        <v>63.459000000000003</v>
      </c>
      <c r="N177" s="32">
        <f t="shared" si="42"/>
        <v>64.448999999999998</v>
      </c>
      <c r="O177" s="32">
        <f t="shared" si="42"/>
        <v>65.438999999999993</v>
      </c>
      <c r="P177" s="32">
        <f t="shared" si="42"/>
        <v>66.429000000000002</v>
      </c>
      <c r="Q177" s="32">
        <f t="shared" si="42"/>
        <v>67.419000000000011</v>
      </c>
      <c r="R177" s="32">
        <f t="shared" si="42"/>
        <v>68.409000000000006</v>
      </c>
      <c r="S177" s="32">
        <f t="shared" si="42"/>
        <v>69.399000000000001</v>
      </c>
      <c r="T177" s="186">
        <f t="shared" si="42"/>
        <v>70.388999999999996</v>
      </c>
      <c r="U177" s="32">
        <f t="shared" si="42"/>
        <v>71.379000000000005</v>
      </c>
      <c r="V177" s="32">
        <f t="shared" si="42"/>
        <v>72.369</v>
      </c>
      <c r="W177" s="32">
        <f t="shared" si="42"/>
        <v>73.359000000000009</v>
      </c>
      <c r="X177" s="32">
        <f t="shared" si="42"/>
        <v>74.349000000000004</v>
      </c>
      <c r="Y177" s="32">
        <f t="shared" si="42"/>
        <v>75.338999999999999</v>
      </c>
      <c r="Z177" s="32">
        <f t="shared" si="42"/>
        <v>76.329000000000008</v>
      </c>
      <c r="AA177" s="32">
        <f t="shared" si="39"/>
        <v>77.319000000000003</v>
      </c>
      <c r="AB177" s="32">
        <f t="shared" si="39"/>
        <v>78.308999999999997</v>
      </c>
      <c r="AC177" s="32">
        <f t="shared" si="39"/>
        <v>79.299000000000007</v>
      </c>
      <c r="AD177" s="32">
        <f t="shared" si="40"/>
        <v>80.289000000000001</v>
      </c>
      <c r="AE177" s="32">
        <f t="shared" si="40"/>
        <v>81.279000000000011</v>
      </c>
      <c r="AF177" s="32">
        <f t="shared" si="40"/>
        <v>82.268999999999991</v>
      </c>
      <c r="AG177" s="32">
        <f t="shared" si="40"/>
        <v>83.259</v>
      </c>
      <c r="AH177" s="32">
        <f t="shared" si="40"/>
        <v>84.249000000000009</v>
      </c>
      <c r="AI177" s="32">
        <f t="shared" si="40"/>
        <v>85.239000000000004</v>
      </c>
      <c r="AJ177" s="32">
        <f t="shared" si="40"/>
        <v>86.229000000000013</v>
      </c>
      <c r="AK177" s="32">
        <f t="shared" si="40"/>
        <v>87.218999999999994</v>
      </c>
      <c r="AL177" s="32">
        <f t="shared" si="40"/>
        <v>88.209000000000003</v>
      </c>
      <c r="AM177" s="32">
        <f t="shared" si="40"/>
        <v>89.199000000000012</v>
      </c>
      <c r="AN177" s="32">
        <f t="shared" si="40"/>
        <v>90.189000000000007</v>
      </c>
      <c r="AO177" s="32">
        <f t="shared" si="40"/>
        <v>91.179000000000002</v>
      </c>
      <c r="AP177" s="32">
        <f t="shared" si="40"/>
        <v>92.168999999999997</v>
      </c>
      <c r="AQ177" s="32">
        <f t="shared" si="40"/>
        <v>93.159000000000006</v>
      </c>
      <c r="AR177" s="32">
        <f t="shared" si="40"/>
        <v>94.149000000000015</v>
      </c>
      <c r="AS177" s="32">
        <f t="shared" si="40"/>
        <v>95.138999999999996</v>
      </c>
      <c r="AT177" s="32">
        <f t="shared" si="41"/>
        <v>96.129000000000005</v>
      </c>
      <c r="AU177" s="32">
        <f t="shared" si="41"/>
        <v>97.119</v>
      </c>
      <c r="AV177" s="32">
        <f t="shared" si="41"/>
        <v>98.109000000000009</v>
      </c>
      <c r="AW177" s="32">
        <f t="shared" si="41"/>
        <v>99.099000000000018</v>
      </c>
      <c r="AX177" s="32">
        <f t="shared" si="41"/>
        <v>100.089</v>
      </c>
      <c r="AY177" s="32">
        <f t="shared" si="41"/>
        <v>101.07900000000001</v>
      </c>
      <c r="AZ177" s="32">
        <f t="shared" si="41"/>
        <v>102.069</v>
      </c>
      <c r="BA177" s="16"/>
    </row>
    <row r="178" spans="1:53" hidden="1" x14ac:dyDescent="0.25">
      <c r="A178" s="16"/>
      <c r="B178" s="31">
        <v>42</v>
      </c>
      <c r="C178" s="32">
        <f t="shared" ref="C178:R193" si="43">(C$16-100+$B178/10)*0.9*1.1</f>
        <v>53.658000000000008</v>
      </c>
      <c r="D178" s="32">
        <f t="shared" si="43"/>
        <v>54.64800000000001</v>
      </c>
      <c r="E178" s="32">
        <f t="shared" si="43"/>
        <v>55.638000000000012</v>
      </c>
      <c r="F178" s="32">
        <f t="shared" si="43"/>
        <v>56.628000000000007</v>
      </c>
      <c r="G178" s="32">
        <f t="shared" si="43"/>
        <v>57.618000000000009</v>
      </c>
      <c r="H178" s="32">
        <f t="shared" si="43"/>
        <v>58.608000000000004</v>
      </c>
      <c r="I178" s="32">
        <f t="shared" si="43"/>
        <v>59.598000000000013</v>
      </c>
      <c r="J178" s="32">
        <f t="shared" si="43"/>
        <v>60.588000000000008</v>
      </c>
      <c r="K178" s="32">
        <f t="shared" si="43"/>
        <v>61.57800000000001</v>
      </c>
      <c r="L178" s="32">
        <f t="shared" si="43"/>
        <v>62.568000000000005</v>
      </c>
      <c r="M178" s="32">
        <f t="shared" si="43"/>
        <v>63.558000000000007</v>
      </c>
      <c r="N178" s="32">
        <f t="shared" si="43"/>
        <v>64.548000000000016</v>
      </c>
      <c r="O178" s="32">
        <f t="shared" si="43"/>
        <v>65.538000000000011</v>
      </c>
      <c r="P178" s="32">
        <f t="shared" si="43"/>
        <v>66.528000000000006</v>
      </c>
      <c r="Q178" s="32">
        <f t="shared" si="43"/>
        <v>67.518000000000015</v>
      </c>
      <c r="R178" s="32">
        <f t="shared" si="43"/>
        <v>68.50800000000001</v>
      </c>
      <c r="S178" s="32">
        <f t="shared" si="42"/>
        <v>69.498000000000019</v>
      </c>
      <c r="T178" s="186">
        <f t="shared" si="42"/>
        <v>70.488</v>
      </c>
      <c r="U178" s="32">
        <f t="shared" si="42"/>
        <v>71.478000000000009</v>
      </c>
      <c r="V178" s="32">
        <f t="shared" si="42"/>
        <v>72.468000000000018</v>
      </c>
      <c r="W178" s="32">
        <f t="shared" si="42"/>
        <v>73.458000000000013</v>
      </c>
      <c r="X178" s="32">
        <f t="shared" si="42"/>
        <v>74.448000000000008</v>
      </c>
      <c r="Y178" s="32">
        <f t="shared" si="42"/>
        <v>75.438000000000002</v>
      </c>
      <c r="Z178" s="32">
        <f t="shared" si="42"/>
        <v>76.428000000000011</v>
      </c>
      <c r="AA178" s="32">
        <f t="shared" si="39"/>
        <v>77.418000000000021</v>
      </c>
      <c r="AB178" s="32">
        <f t="shared" si="39"/>
        <v>78.408000000000001</v>
      </c>
      <c r="AC178" s="32">
        <f t="shared" si="39"/>
        <v>79.39800000000001</v>
      </c>
      <c r="AD178" s="32">
        <f t="shared" si="40"/>
        <v>80.388000000000005</v>
      </c>
      <c r="AE178" s="32">
        <f t="shared" si="40"/>
        <v>81.378000000000014</v>
      </c>
      <c r="AF178" s="32">
        <f t="shared" si="40"/>
        <v>82.368000000000023</v>
      </c>
      <c r="AG178" s="32">
        <f t="shared" si="40"/>
        <v>83.358000000000004</v>
      </c>
      <c r="AH178" s="32">
        <f t="shared" si="40"/>
        <v>84.348000000000013</v>
      </c>
      <c r="AI178" s="32">
        <f t="shared" si="40"/>
        <v>85.338000000000008</v>
      </c>
      <c r="AJ178" s="32">
        <f t="shared" si="40"/>
        <v>86.328000000000017</v>
      </c>
      <c r="AK178" s="32">
        <f t="shared" si="40"/>
        <v>87.318000000000012</v>
      </c>
      <c r="AL178" s="32">
        <f t="shared" si="40"/>
        <v>88.308000000000007</v>
      </c>
      <c r="AM178" s="32">
        <f t="shared" si="40"/>
        <v>89.298000000000016</v>
      </c>
      <c r="AN178" s="32">
        <f t="shared" si="40"/>
        <v>90.288000000000011</v>
      </c>
      <c r="AO178" s="32">
        <f t="shared" si="40"/>
        <v>91.278000000000006</v>
      </c>
      <c r="AP178" s="32">
        <f t="shared" si="40"/>
        <v>92.268000000000015</v>
      </c>
      <c r="AQ178" s="32">
        <f t="shared" si="40"/>
        <v>93.25800000000001</v>
      </c>
      <c r="AR178" s="32">
        <f t="shared" si="40"/>
        <v>94.248000000000019</v>
      </c>
      <c r="AS178" s="32">
        <f t="shared" si="40"/>
        <v>95.238</v>
      </c>
      <c r="AT178" s="32">
        <f t="shared" si="41"/>
        <v>96.228000000000009</v>
      </c>
      <c r="AU178" s="32">
        <f t="shared" si="41"/>
        <v>97.218000000000018</v>
      </c>
      <c r="AV178" s="32">
        <f t="shared" si="41"/>
        <v>98.208000000000013</v>
      </c>
      <c r="AW178" s="32">
        <f t="shared" si="41"/>
        <v>99.198000000000022</v>
      </c>
      <c r="AX178" s="32">
        <f t="shared" si="41"/>
        <v>100.188</v>
      </c>
      <c r="AY178" s="32">
        <f t="shared" si="41"/>
        <v>101.17800000000001</v>
      </c>
      <c r="AZ178" s="32">
        <f t="shared" si="41"/>
        <v>102.16800000000002</v>
      </c>
      <c r="BA178" s="16"/>
    </row>
    <row r="179" spans="1:53" hidden="1" x14ac:dyDescent="0.25">
      <c r="A179" s="16"/>
      <c r="B179" s="31">
        <v>43</v>
      </c>
      <c r="C179" s="32">
        <f t="shared" si="43"/>
        <v>53.757000000000005</v>
      </c>
      <c r="D179" s="32">
        <f t="shared" si="43"/>
        <v>54.747</v>
      </c>
      <c r="E179" s="32">
        <f t="shared" si="43"/>
        <v>55.737000000000009</v>
      </c>
      <c r="F179" s="32">
        <f t="shared" si="43"/>
        <v>56.727000000000004</v>
      </c>
      <c r="G179" s="32">
        <f t="shared" si="43"/>
        <v>57.717000000000006</v>
      </c>
      <c r="H179" s="32">
        <f t="shared" si="43"/>
        <v>58.707000000000001</v>
      </c>
      <c r="I179" s="32">
        <f t="shared" si="43"/>
        <v>59.697000000000003</v>
      </c>
      <c r="J179" s="32">
        <f t="shared" si="43"/>
        <v>60.687000000000005</v>
      </c>
      <c r="K179" s="32">
        <f t="shared" si="43"/>
        <v>61.677000000000007</v>
      </c>
      <c r="L179" s="32">
        <f t="shared" si="43"/>
        <v>62.667000000000002</v>
      </c>
      <c r="M179" s="32">
        <f t="shared" si="43"/>
        <v>63.657000000000004</v>
      </c>
      <c r="N179" s="32">
        <f t="shared" si="43"/>
        <v>64.647000000000006</v>
      </c>
      <c r="O179" s="32">
        <f t="shared" si="43"/>
        <v>65.637</v>
      </c>
      <c r="P179" s="32">
        <f t="shared" si="43"/>
        <v>66.62700000000001</v>
      </c>
      <c r="Q179" s="32">
        <f t="shared" si="43"/>
        <v>67.617000000000004</v>
      </c>
      <c r="R179" s="32">
        <f t="shared" si="43"/>
        <v>68.606999999999999</v>
      </c>
      <c r="S179" s="32">
        <f t="shared" si="42"/>
        <v>69.596999999999994</v>
      </c>
      <c r="T179" s="186">
        <f t="shared" si="42"/>
        <v>70.587000000000003</v>
      </c>
      <c r="U179" s="32">
        <f t="shared" si="42"/>
        <v>71.576999999999998</v>
      </c>
      <c r="V179" s="32">
        <f t="shared" si="42"/>
        <v>72.567000000000007</v>
      </c>
      <c r="W179" s="32">
        <f t="shared" si="42"/>
        <v>73.557000000000016</v>
      </c>
      <c r="X179" s="32">
        <f t="shared" si="42"/>
        <v>74.546999999999997</v>
      </c>
      <c r="Y179" s="32">
        <f t="shared" si="42"/>
        <v>75.537000000000006</v>
      </c>
      <c r="Z179" s="32">
        <f t="shared" si="42"/>
        <v>76.527000000000001</v>
      </c>
      <c r="AA179" s="32">
        <f t="shared" si="39"/>
        <v>77.51700000000001</v>
      </c>
      <c r="AB179" s="32">
        <f t="shared" si="39"/>
        <v>78.507000000000005</v>
      </c>
      <c r="AC179" s="32">
        <f t="shared" si="39"/>
        <v>79.497</v>
      </c>
      <c r="AD179" s="32">
        <f t="shared" si="40"/>
        <v>80.487000000000009</v>
      </c>
      <c r="AE179" s="32">
        <f t="shared" si="40"/>
        <v>81.477000000000004</v>
      </c>
      <c r="AF179" s="32">
        <f t="shared" si="40"/>
        <v>82.466999999999999</v>
      </c>
      <c r="AG179" s="32">
        <f t="shared" si="40"/>
        <v>83.457000000000008</v>
      </c>
      <c r="AH179" s="32">
        <f t="shared" si="40"/>
        <v>84.447000000000003</v>
      </c>
      <c r="AI179" s="32">
        <f t="shared" si="40"/>
        <v>85.437000000000012</v>
      </c>
      <c r="AJ179" s="32">
        <f t="shared" si="40"/>
        <v>86.426999999999992</v>
      </c>
      <c r="AK179" s="32">
        <f t="shared" si="40"/>
        <v>87.417000000000002</v>
      </c>
      <c r="AL179" s="32">
        <f t="shared" si="40"/>
        <v>88.407000000000011</v>
      </c>
      <c r="AM179" s="32">
        <f t="shared" si="40"/>
        <v>89.397000000000006</v>
      </c>
      <c r="AN179" s="32">
        <f t="shared" si="40"/>
        <v>90.387000000000015</v>
      </c>
      <c r="AO179" s="32">
        <f t="shared" si="40"/>
        <v>91.376999999999995</v>
      </c>
      <c r="AP179" s="32">
        <f t="shared" si="40"/>
        <v>92.367000000000004</v>
      </c>
      <c r="AQ179" s="32">
        <f t="shared" si="40"/>
        <v>93.357000000000014</v>
      </c>
      <c r="AR179" s="32">
        <f t="shared" si="40"/>
        <v>94.347000000000008</v>
      </c>
      <c r="AS179" s="32">
        <f t="shared" si="40"/>
        <v>95.337000000000003</v>
      </c>
      <c r="AT179" s="32">
        <f t="shared" si="41"/>
        <v>96.326999999999998</v>
      </c>
      <c r="AU179" s="32">
        <f t="shared" si="41"/>
        <v>97.317000000000007</v>
      </c>
      <c r="AV179" s="32">
        <f t="shared" si="41"/>
        <v>98.307000000000016</v>
      </c>
      <c r="AW179" s="32">
        <f t="shared" si="41"/>
        <v>99.296999999999997</v>
      </c>
      <c r="AX179" s="32">
        <f t="shared" si="41"/>
        <v>100.28700000000001</v>
      </c>
      <c r="AY179" s="32">
        <f t="shared" si="41"/>
        <v>101.277</v>
      </c>
      <c r="AZ179" s="32">
        <f t="shared" si="41"/>
        <v>102.26700000000001</v>
      </c>
      <c r="BA179" s="16"/>
    </row>
    <row r="180" spans="1:53" hidden="1" x14ac:dyDescent="0.25">
      <c r="A180" s="16"/>
      <c r="B180" s="31">
        <v>44</v>
      </c>
      <c r="C180" s="32">
        <f t="shared" si="43"/>
        <v>53.856000000000009</v>
      </c>
      <c r="D180" s="32">
        <f t="shared" si="43"/>
        <v>54.846000000000004</v>
      </c>
      <c r="E180" s="32">
        <f t="shared" si="43"/>
        <v>55.836000000000006</v>
      </c>
      <c r="F180" s="32">
        <f t="shared" si="43"/>
        <v>56.826000000000001</v>
      </c>
      <c r="G180" s="32">
        <f t="shared" si="43"/>
        <v>57.81600000000001</v>
      </c>
      <c r="H180" s="32">
        <f t="shared" si="43"/>
        <v>58.806000000000004</v>
      </c>
      <c r="I180" s="32">
        <f t="shared" si="43"/>
        <v>59.796000000000006</v>
      </c>
      <c r="J180" s="32">
        <f t="shared" si="43"/>
        <v>60.786000000000001</v>
      </c>
      <c r="K180" s="32">
        <f t="shared" si="43"/>
        <v>61.776000000000003</v>
      </c>
      <c r="L180" s="32">
        <f t="shared" si="43"/>
        <v>62.766000000000005</v>
      </c>
      <c r="M180" s="32">
        <f t="shared" si="43"/>
        <v>63.756000000000014</v>
      </c>
      <c r="N180" s="32">
        <f t="shared" si="43"/>
        <v>64.746000000000009</v>
      </c>
      <c r="O180" s="32">
        <f t="shared" si="43"/>
        <v>65.736000000000004</v>
      </c>
      <c r="P180" s="32">
        <f t="shared" si="43"/>
        <v>66.726000000000013</v>
      </c>
      <c r="Q180" s="32">
        <f t="shared" si="43"/>
        <v>67.716000000000022</v>
      </c>
      <c r="R180" s="32">
        <f t="shared" si="43"/>
        <v>68.706000000000017</v>
      </c>
      <c r="S180" s="32">
        <f t="shared" si="42"/>
        <v>69.696000000000012</v>
      </c>
      <c r="T180" s="186">
        <f t="shared" si="42"/>
        <v>70.686000000000007</v>
      </c>
      <c r="U180" s="32">
        <f t="shared" si="42"/>
        <v>71.676000000000016</v>
      </c>
      <c r="V180" s="32">
        <f t="shared" si="42"/>
        <v>72.666000000000011</v>
      </c>
      <c r="W180" s="32">
        <f t="shared" si="42"/>
        <v>73.65600000000002</v>
      </c>
      <c r="X180" s="32">
        <f t="shared" si="42"/>
        <v>74.646000000000015</v>
      </c>
      <c r="Y180" s="32">
        <f t="shared" si="42"/>
        <v>75.63600000000001</v>
      </c>
      <c r="Z180" s="32">
        <f t="shared" si="42"/>
        <v>76.626000000000019</v>
      </c>
      <c r="AA180" s="32">
        <f t="shared" si="39"/>
        <v>77.616000000000014</v>
      </c>
      <c r="AB180" s="32">
        <f t="shared" si="39"/>
        <v>78.606000000000009</v>
      </c>
      <c r="AC180" s="32">
        <f t="shared" si="39"/>
        <v>79.596000000000018</v>
      </c>
      <c r="AD180" s="32">
        <f t="shared" si="40"/>
        <v>80.586000000000013</v>
      </c>
      <c r="AE180" s="32">
        <f t="shared" si="40"/>
        <v>81.576000000000022</v>
      </c>
      <c r="AF180" s="32">
        <f t="shared" si="40"/>
        <v>82.566000000000003</v>
      </c>
      <c r="AG180" s="32">
        <f t="shared" si="40"/>
        <v>83.556000000000012</v>
      </c>
      <c r="AH180" s="32">
        <f t="shared" si="40"/>
        <v>84.546000000000021</v>
      </c>
      <c r="AI180" s="32">
        <f t="shared" si="40"/>
        <v>85.536000000000016</v>
      </c>
      <c r="AJ180" s="32">
        <f t="shared" si="40"/>
        <v>86.526000000000025</v>
      </c>
      <c r="AK180" s="32">
        <f t="shared" si="40"/>
        <v>87.516000000000005</v>
      </c>
      <c r="AL180" s="32">
        <f t="shared" si="40"/>
        <v>88.506000000000014</v>
      </c>
      <c r="AM180" s="32">
        <f t="shared" si="40"/>
        <v>89.496000000000024</v>
      </c>
      <c r="AN180" s="32">
        <f t="shared" si="40"/>
        <v>90.486000000000018</v>
      </c>
      <c r="AO180" s="32">
        <f t="shared" si="40"/>
        <v>91.476000000000013</v>
      </c>
      <c r="AP180" s="32">
        <f t="shared" si="40"/>
        <v>92.466000000000008</v>
      </c>
      <c r="AQ180" s="32">
        <f t="shared" si="40"/>
        <v>93.456000000000017</v>
      </c>
      <c r="AR180" s="32">
        <f t="shared" ref="AR180:AZ195" si="44">(AR$16-100+$B180/10)*0.9*1.1</f>
        <v>94.446000000000026</v>
      </c>
      <c r="AS180" s="32">
        <f t="shared" si="44"/>
        <v>95.436000000000007</v>
      </c>
      <c r="AT180" s="32">
        <f t="shared" si="44"/>
        <v>96.426000000000016</v>
      </c>
      <c r="AU180" s="32">
        <f t="shared" si="44"/>
        <v>97.416000000000011</v>
      </c>
      <c r="AV180" s="32">
        <f t="shared" si="44"/>
        <v>98.40600000000002</v>
      </c>
      <c r="AW180" s="32">
        <f t="shared" si="44"/>
        <v>99.396000000000029</v>
      </c>
      <c r="AX180" s="32">
        <f t="shared" si="44"/>
        <v>100.38600000000001</v>
      </c>
      <c r="AY180" s="32">
        <f t="shared" si="44"/>
        <v>101.37600000000002</v>
      </c>
      <c r="AZ180" s="32">
        <f t="shared" si="44"/>
        <v>102.36600000000001</v>
      </c>
      <c r="BA180" s="16"/>
    </row>
    <row r="181" spans="1:53" hidden="1" x14ac:dyDescent="0.25">
      <c r="A181" s="16"/>
      <c r="B181" s="31">
        <v>45</v>
      </c>
      <c r="C181" s="32">
        <f t="shared" si="43"/>
        <v>53.955000000000013</v>
      </c>
      <c r="D181" s="32">
        <f t="shared" si="43"/>
        <v>54.945000000000007</v>
      </c>
      <c r="E181" s="32">
        <f t="shared" si="43"/>
        <v>55.935000000000009</v>
      </c>
      <c r="F181" s="32">
        <f t="shared" si="43"/>
        <v>56.925000000000004</v>
      </c>
      <c r="G181" s="32">
        <f t="shared" si="43"/>
        <v>57.915000000000006</v>
      </c>
      <c r="H181" s="32">
        <f t="shared" si="43"/>
        <v>58.905000000000008</v>
      </c>
      <c r="I181" s="32">
        <f t="shared" si="43"/>
        <v>59.89500000000001</v>
      </c>
      <c r="J181" s="32">
        <f t="shared" si="43"/>
        <v>60.885000000000005</v>
      </c>
      <c r="K181" s="32">
        <f t="shared" si="43"/>
        <v>61.875000000000007</v>
      </c>
      <c r="L181" s="32">
        <f t="shared" si="43"/>
        <v>62.865000000000002</v>
      </c>
      <c r="M181" s="32">
        <f t="shared" si="43"/>
        <v>63.855000000000011</v>
      </c>
      <c r="N181" s="32">
        <f t="shared" si="43"/>
        <v>64.845000000000013</v>
      </c>
      <c r="O181" s="32">
        <f t="shared" si="43"/>
        <v>65.835000000000008</v>
      </c>
      <c r="P181" s="32">
        <f t="shared" si="43"/>
        <v>66.825000000000003</v>
      </c>
      <c r="Q181" s="32">
        <f t="shared" si="43"/>
        <v>67.814999999999998</v>
      </c>
      <c r="R181" s="32">
        <f t="shared" si="43"/>
        <v>68.805000000000007</v>
      </c>
      <c r="S181" s="32">
        <f t="shared" si="42"/>
        <v>69.795000000000002</v>
      </c>
      <c r="T181" s="186">
        <f t="shared" si="42"/>
        <v>70.785000000000011</v>
      </c>
      <c r="U181" s="32">
        <f t="shared" si="42"/>
        <v>71.775000000000006</v>
      </c>
      <c r="V181" s="32">
        <f t="shared" si="42"/>
        <v>72.765000000000015</v>
      </c>
      <c r="W181" s="32">
        <f t="shared" si="42"/>
        <v>73.75500000000001</v>
      </c>
      <c r="X181" s="32">
        <f t="shared" si="42"/>
        <v>74.745000000000005</v>
      </c>
      <c r="Y181" s="32">
        <f t="shared" si="42"/>
        <v>75.735000000000014</v>
      </c>
      <c r="Z181" s="32">
        <f t="shared" si="42"/>
        <v>76.725000000000009</v>
      </c>
      <c r="AA181" s="32">
        <f t="shared" si="39"/>
        <v>77.715000000000018</v>
      </c>
      <c r="AB181" s="32">
        <f t="shared" si="39"/>
        <v>78.704999999999998</v>
      </c>
      <c r="AC181" s="32">
        <f t="shared" si="39"/>
        <v>79.695000000000007</v>
      </c>
      <c r="AD181" s="32">
        <f t="shared" ref="AD181:AS198" si="45">(AD$16-100+$B181/10)*0.9*1.1</f>
        <v>80.685000000000016</v>
      </c>
      <c r="AE181" s="32">
        <f t="shared" si="45"/>
        <v>81.675000000000011</v>
      </c>
      <c r="AF181" s="32">
        <f t="shared" si="45"/>
        <v>82.665000000000006</v>
      </c>
      <c r="AG181" s="32">
        <f t="shared" si="45"/>
        <v>83.655000000000001</v>
      </c>
      <c r="AH181" s="32">
        <f t="shared" si="45"/>
        <v>84.64500000000001</v>
      </c>
      <c r="AI181" s="32">
        <f t="shared" si="45"/>
        <v>85.635000000000019</v>
      </c>
      <c r="AJ181" s="32">
        <f t="shared" si="45"/>
        <v>86.625</v>
      </c>
      <c r="AK181" s="32">
        <f t="shared" si="45"/>
        <v>87.615000000000009</v>
      </c>
      <c r="AL181" s="32">
        <f t="shared" si="45"/>
        <v>88.605000000000004</v>
      </c>
      <c r="AM181" s="32">
        <f t="shared" si="45"/>
        <v>89.595000000000013</v>
      </c>
      <c r="AN181" s="32">
        <f t="shared" si="45"/>
        <v>90.585000000000022</v>
      </c>
      <c r="AO181" s="32">
        <f t="shared" si="45"/>
        <v>91.575000000000003</v>
      </c>
      <c r="AP181" s="32">
        <f t="shared" si="45"/>
        <v>92.565000000000012</v>
      </c>
      <c r="AQ181" s="32">
        <f t="shared" si="45"/>
        <v>93.555000000000007</v>
      </c>
      <c r="AR181" s="32">
        <f t="shared" si="45"/>
        <v>94.545000000000016</v>
      </c>
      <c r="AS181" s="32">
        <f t="shared" si="45"/>
        <v>95.535000000000011</v>
      </c>
      <c r="AT181" s="32">
        <f t="shared" si="44"/>
        <v>96.525000000000006</v>
      </c>
      <c r="AU181" s="32">
        <f t="shared" si="44"/>
        <v>97.515000000000015</v>
      </c>
      <c r="AV181" s="32">
        <f t="shared" si="44"/>
        <v>98.50500000000001</v>
      </c>
      <c r="AW181" s="32">
        <f t="shared" si="44"/>
        <v>99.495000000000005</v>
      </c>
      <c r="AX181" s="32">
        <f t="shared" si="44"/>
        <v>100.48500000000001</v>
      </c>
      <c r="AY181" s="32">
        <f t="shared" si="44"/>
        <v>101.47500000000001</v>
      </c>
      <c r="AZ181" s="32">
        <f t="shared" si="44"/>
        <v>102.46500000000002</v>
      </c>
      <c r="BA181" s="16"/>
    </row>
    <row r="182" spans="1:53" hidden="1" x14ac:dyDescent="0.25">
      <c r="A182" s="16"/>
      <c r="B182" s="31">
        <v>46</v>
      </c>
      <c r="C182" s="32">
        <f t="shared" si="43"/>
        <v>54.054000000000002</v>
      </c>
      <c r="D182" s="32">
        <f t="shared" si="43"/>
        <v>55.044000000000004</v>
      </c>
      <c r="E182" s="32">
        <f t="shared" si="43"/>
        <v>56.034000000000013</v>
      </c>
      <c r="F182" s="32">
        <f t="shared" si="43"/>
        <v>57.024000000000008</v>
      </c>
      <c r="G182" s="32">
        <f t="shared" si="43"/>
        <v>58.01400000000001</v>
      </c>
      <c r="H182" s="32">
        <f t="shared" si="43"/>
        <v>59.004000000000005</v>
      </c>
      <c r="I182" s="32">
        <f t="shared" si="43"/>
        <v>59.994000000000007</v>
      </c>
      <c r="J182" s="32">
        <f t="shared" si="43"/>
        <v>60.984000000000009</v>
      </c>
      <c r="K182" s="32">
        <f t="shared" si="43"/>
        <v>61.974000000000011</v>
      </c>
      <c r="L182" s="32">
        <f t="shared" si="43"/>
        <v>62.964000000000006</v>
      </c>
      <c r="M182" s="32">
        <f t="shared" si="43"/>
        <v>63.954000000000001</v>
      </c>
      <c r="N182" s="32">
        <f t="shared" si="43"/>
        <v>64.944000000000003</v>
      </c>
      <c r="O182" s="32">
        <f t="shared" si="43"/>
        <v>65.933999999999997</v>
      </c>
      <c r="P182" s="32">
        <f t="shared" si="43"/>
        <v>66.924000000000007</v>
      </c>
      <c r="Q182" s="32">
        <f t="shared" si="43"/>
        <v>67.914000000000001</v>
      </c>
      <c r="R182" s="32">
        <f t="shared" si="43"/>
        <v>68.903999999999996</v>
      </c>
      <c r="S182" s="32">
        <f t="shared" si="42"/>
        <v>69.894000000000005</v>
      </c>
      <c r="T182" s="186">
        <f t="shared" si="42"/>
        <v>70.884</v>
      </c>
      <c r="U182" s="32">
        <f t="shared" si="42"/>
        <v>71.874000000000009</v>
      </c>
      <c r="V182" s="32">
        <f t="shared" si="42"/>
        <v>72.864000000000004</v>
      </c>
      <c r="W182" s="32">
        <f t="shared" si="42"/>
        <v>73.854000000000013</v>
      </c>
      <c r="X182" s="32">
        <f t="shared" si="42"/>
        <v>74.843999999999994</v>
      </c>
      <c r="Y182" s="32">
        <f t="shared" si="42"/>
        <v>75.834000000000003</v>
      </c>
      <c r="Z182" s="32">
        <f t="shared" si="42"/>
        <v>76.824000000000012</v>
      </c>
      <c r="AA182" s="32">
        <f t="shared" si="39"/>
        <v>77.814000000000007</v>
      </c>
      <c r="AB182" s="32">
        <f t="shared" si="39"/>
        <v>78.804000000000002</v>
      </c>
      <c r="AC182" s="32">
        <f t="shared" si="39"/>
        <v>79.793999999999997</v>
      </c>
      <c r="AD182" s="32">
        <f t="shared" si="45"/>
        <v>80.784000000000006</v>
      </c>
      <c r="AE182" s="32">
        <f t="shared" si="45"/>
        <v>81.774000000000015</v>
      </c>
      <c r="AF182" s="32">
        <f t="shared" si="45"/>
        <v>82.763999999999996</v>
      </c>
      <c r="AG182" s="32">
        <f t="shared" si="45"/>
        <v>83.754000000000005</v>
      </c>
      <c r="AH182" s="32">
        <f t="shared" si="45"/>
        <v>84.744</v>
      </c>
      <c r="AI182" s="32">
        <f t="shared" si="45"/>
        <v>85.734000000000009</v>
      </c>
      <c r="AJ182" s="32">
        <f t="shared" si="45"/>
        <v>86.724000000000004</v>
      </c>
      <c r="AK182" s="32">
        <f t="shared" si="45"/>
        <v>87.713999999999999</v>
      </c>
      <c r="AL182" s="32">
        <f t="shared" si="45"/>
        <v>88.704000000000008</v>
      </c>
      <c r="AM182" s="32">
        <f t="shared" si="45"/>
        <v>89.694000000000003</v>
      </c>
      <c r="AN182" s="32">
        <f t="shared" si="45"/>
        <v>90.684000000000012</v>
      </c>
      <c r="AO182" s="32">
        <f t="shared" si="45"/>
        <v>91.674000000000007</v>
      </c>
      <c r="AP182" s="32">
        <f t="shared" si="45"/>
        <v>92.664000000000001</v>
      </c>
      <c r="AQ182" s="32">
        <f t="shared" si="45"/>
        <v>93.654000000000011</v>
      </c>
      <c r="AR182" s="32">
        <f t="shared" si="45"/>
        <v>94.644000000000005</v>
      </c>
      <c r="AS182" s="32">
        <f t="shared" si="45"/>
        <v>95.634</v>
      </c>
      <c r="AT182" s="32">
        <f t="shared" si="44"/>
        <v>96.624000000000009</v>
      </c>
      <c r="AU182" s="32">
        <f t="shared" si="44"/>
        <v>97.614000000000004</v>
      </c>
      <c r="AV182" s="32">
        <f t="shared" si="44"/>
        <v>98.604000000000013</v>
      </c>
      <c r="AW182" s="32">
        <f t="shared" si="44"/>
        <v>99.593999999999994</v>
      </c>
      <c r="AX182" s="32">
        <f t="shared" si="44"/>
        <v>100.584</v>
      </c>
      <c r="AY182" s="32">
        <f t="shared" si="44"/>
        <v>101.57400000000001</v>
      </c>
      <c r="AZ182" s="32">
        <f t="shared" si="44"/>
        <v>102.56400000000001</v>
      </c>
      <c r="BA182" s="16"/>
    </row>
    <row r="183" spans="1:53" hidden="1" x14ac:dyDescent="0.25">
      <c r="A183" s="16"/>
      <c r="B183" s="31">
        <v>47</v>
      </c>
      <c r="C183" s="32">
        <f t="shared" si="43"/>
        <v>54.153000000000006</v>
      </c>
      <c r="D183" s="32">
        <f t="shared" si="43"/>
        <v>55.143000000000008</v>
      </c>
      <c r="E183" s="32">
        <f t="shared" si="43"/>
        <v>56.133000000000003</v>
      </c>
      <c r="F183" s="32">
        <f t="shared" si="43"/>
        <v>57.123000000000012</v>
      </c>
      <c r="G183" s="32">
        <f t="shared" si="43"/>
        <v>58.113000000000014</v>
      </c>
      <c r="H183" s="32">
        <f t="shared" si="43"/>
        <v>59.103000000000009</v>
      </c>
      <c r="I183" s="32">
        <f t="shared" si="43"/>
        <v>60.093000000000011</v>
      </c>
      <c r="J183" s="32">
        <f t="shared" si="43"/>
        <v>61.083000000000006</v>
      </c>
      <c r="K183" s="32">
        <f t="shared" si="43"/>
        <v>62.073000000000015</v>
      </c>
      <c r="L183" s="32">
        <f t="shared" si="43"/>
        <v>63.063000000000009</v>
      </c>
      <c r="M183" s="32">
        <f t="shared" si="43"/>
        <v>64.053000000000011</v>
      </c>
      <c r="N183" s="32">
        <f t="shared" si="43"/>
        <v>65.043000000000006</v>
      </c>
      <c r="O183" s="32">
        <f t="shared" si="43"/>
        <v>66.033000000000001</v>
      </c>
      <c r="P183" s="32">
        <f t="shared" si="43"/>
        <v>67.02300000000001</v>
      </c>
      <c r="Q183" s="32">
        <f t="shared" si="43"/>
        <v>68.013000000000005</v>
      </c>
      <c r="R183" s="32">
        <f t="shared" si="43"/>
        <v>69.003000000000014</v>
      </c>
      <c r="S183" s="32">
        <f t="shared" si="42"/>
        <v>69.993000000000009</v>
      </c>
      <c r="T183" s="186">
        <f t="shared" si="42"/>
        <v>70.983000000000004</v>
      </c>
      <c r="U183" s="32">
        <f t="shared" si="42"/>
        <v>71.973000000000013</v>
      </c>
      <c r="V183" s="32">
        <f t="shared" si="42"/>
        <v>72.963000000000008</v>
      </c>
      <c r="W183" s="32">
        <f t="shared" si="42"/>
        <v>73.953000000000017</v>
      </c>
      <c r="X183" s="32">
        <f t="shared" si="42"/>
        <v>74.943000000000012</v>
      </c>
      <c r="Y183" s="32">
        <f t="shared" si="42"/>
        <v>75.933000000000007</v>
      </c>
      <c r="Z183" s="32">
        <f t="shared" si="42"/>
        <v>76.923000000000016</v>
      </c>
      <c r="AA183" s="32">
        <f t="shared" si="39"/>
        <v>77.913000000000011</v>
      </c>
      <c r="AB183" s="32">
        <f t="shared" si="39"/>
        <v>78.903000000000006</v>
      </c>
      <c r="AC183" s="32">
        <f t="shared" si="39"/>
        <v>79.893000000000015</v>
      </c>
      <c r="AD183" s="32">
        <f t="shared" si="45"/>
        <v>80.88300000000001</v>
      </c>
      <c r="AE183" s="32">
        <f t="shared" si="45"/>
        <v>81.873000000000019</v>
      </c>
      <c r="AF183" s="32">
        <f t="shared" si="45"/>
        <v>82.863</v>
      </c>
      <c r="AG183" s="32">
        <f t="shared" si="45"/>
        <v>83.853000000000009</v>
      </c>
      <c r="AH183" s="32">
        <f t="shared" si="45"/>
        <v>84.843000000000018</v>
      </c>
      <c r="AI183" s="32">
        <f t="shared" si="45"/>
        <v>85.833000000000013</v>
      </c>
      <c r="AJ183" s="32">
        <f t="shared" si="45"/>
        <v>86.823000000000008</v>
      </c>
      <c r="AK183" s="32">
        <f t="shared" si="45"/>
        <v>87.813000000000002</v>
      </c>
      <c r="AL183" s="32">
        <f t="shared" si="45"/>
        <v>88.803000000000011</v>
      </c>
      <c r="AM183" s="32">
        <f t="shared" si="45"/>
        <v>89.793000000000021</v>
      </c>
      <c r="AN183" s="32">
        <f t="shared" si="45"/>
        <v>90.783000000000015</v>
      </c>
      <c r="AO183" s="32">
        <f t="shared" si="45"/>
        <v>91.77300000000001</v>
      </c>
      <c r="AP183" s="32">
        <f t="shared" si="45"/>
        <v>92.763000000000005</v>
      </c>
      <c r="AQ183" s="32">
        <f t="shared" si="45"/>
        <v>93.753000000000014</v>
      </c>
      <c r="AR183" s="32">
        <f t="shared" si="45"/>
        <v>94.743000000000023</v>
      </c>
      <c r="AS183" s="32">
        <f t="shared" si="45"/>
        <v>95.733000000000004</v>
      </c>
      <c r="AT183" s="32">
        <f t="shared" si="44"/>
        <v>96.723000000000013</v>
      </c>
      <c r="AU183" s="32">
        <f t="shared" si="44"/>
        <v>97.713000000000008</v>
      </c>
      <c r="AV183" s="32">
        <f t="shared" si="44"/>
        <v>98.703000000000017</v>
      </c>
      <c r="AW183" s="32">
        <f t="shared" si="44"/>
        <v>99.693000000000012</v>
      </c>
      <c r="AX183" s="32">
        <f t="shared" si="44"/>
        <v>100.68300000000001</v>
      </c>
      <c r="AY183" s="32">
        <f t="shared" si="44"/>
        <v>101.67300000000002</v>
      </c>
      <c r="AZ183" s="32">
        <f t="shared" si="44"/>
        <v>102.66300000000001</v>
      </c>
      <c r="BA183" s="16"/>
    </row>
    <row r="184" spans="1:53" hidden="1" x14ac:dyDescent="0.25">
      <c r="A184" s="16"/>
      <c r="B184" s="31">
        <v>48</v>
      </c>
      <c r="C184" s="32">
        <f t="shared" si="43"/>
        <v>54.252000000000002</v>
      </c>
      <c r="D184" s="32">
        <f t="shared" si="43"/>
        <v>55.242000000000004</v>
      </c>
      <c r="E184" s="32">
        <f t="shared" si="43"/>
        <v>56.231999999999999</v>
      </c>
      <c r="F184" s="32">
        <f t="shared" si="43"/>
        <v>57.222000000000001</v>
      </c>
      <c r="G184" s="32">
        <f t="shared" si="43"/>
        <v>58.212000000000003</v>
      </c>
      <c r="H184" s="32">
        <f t="shared" si="43"/>
        <v>59.202000000000005</v>
      </c>
      <c r="I184" s="32">
        <f t="shared" si="43"/>
        <v>60.192</v>
      </c>
      <c r="J184" s="32">
        <f t="shared" si="43"/>
        <v>61.182000000000002</v>
      </c>
      <c r="K184" s="32">
        <f t="shared" si="43"/>
        <v>62.172000000000004</v>
      </c>
      <c r="L184" s="32">
        <f t="shared" si="43"/>
        <v>63.162000000000006</v>
      </c>
      <c r="M184" s="32">
        <f t="shared" si="43"/>
        <v>64.152000000000001</v>
      </c>
      <c r="N184" s="32">
        <f t="shared" si="43"/>
        <v>65.14200000000001</v>
      </c>
      <c r="O184" s="32">
        <f t="shared" si="43"/>
        <v>66.132000000000005</v>
      </c>
      <c r="P184" s="32">
        <f t="shared" si="43"/>
        <v>67.122</v>
      </c>
      <c r="Q184" s="32">
        <f t="shared" si="43"/>
        <v>68.112000000000009</v>
      </c>
      <c r="R184" s="32">
        <f t="shared" si="43"/>
        <v>69.102000000000004</v>
      </c>
      <c r="S184" s="32">
        <f t="shared" si="42"/>
        <v>70.091999999999999</v>
      </c>
      <c r="T184" s="186">
        <f t="shared" si="42"/>
        <v>71.082000000000008</v>
      </c>
      <c r="U184" s="32">
        <f t="shared" si="42"/>
        <v>72.072000000000003</v>
      </c>
      <c r="V184" s="32">
        <f t="shared" si="42"/>
        <v>73.062000000000012</v>
      </c>
      <c r="W184" s="32">
        <f t="shared" si="42"/>
        <v>74.051999999999992</v>
      </c>
      <c r="X184" s="32">
        <f t="shared" si="42"/>
        <v>75.042000000000002</v>
      </c>
      <c r="Y184" s="32">
        <f t="shared" si="42"/>
        <v>76.032000000000011</v>
      </c>
      <c r="Z184" s="32">
        <f t="shared" si="42"/>
        <v>77.022000000000006</v>
      </c>
      <c r="AA184" s="32">
        <f t="shared" si="39"/>
        <v>78.012000000000015</v>
      </c>
      <c r="AB184" s="32">
        <f t="shared" si="39"/>
        <v>79.001999999999995</v>
      </c>
      <c r="AC184" s="32">
        <f t="shared" si="39"/>
        <v>79.992000000000004</v>
      </c>
      <c r="AD184" s="32">
        <f t="shared" si="45"/>
        <v>80.982000000000014</v>
      </c>
      <c r="AE184" s="32">
        <f t="shared" si="45"/>
        <v>81.972000000000008</v>
      </c>
      <c r="AF184" s="32">
        <f t="shared" si="45"/>
        <v>82.962000000000003</v>
      </c>
      <c r="AG184" s="32">
        <f t="shared" si="45"/>
        <v>83.951999999999998</v>
      </c>
      <c r="AH184" s="32">
        <f t="shared" si="45"/>
        <v>84.942000000000007</v>
      </c>
      <c r="AI184" s="32">
        <f t="shared" si="45"/>
        <v>85.932000000000016</v>
      </c>
      <c r="AJ184" s="32">
        <f t="shared" si="45"/>
        <v>86.921999999999997</v>
      </c>
      <c r="AK184" s="32">
        <f t="shared" si="45"/>
        <v>87.912000000000006</v>
      </c>
      <c r="AL184" s="32">
        <f t="shared" si="45"/>
        <v>88.902000000000001</v>
      </c>
      <c r="AM184" s="32">
        <f t="shared" si="45"/>
        <v>89.89200000000001</v>
      </c>
      <c r="AN184" s="32">
        <f t="shared" si="45"/>
        <v>90.882000000000019</v>
      </c>
      <c r="AO184" s="32">
        <f t="shared" si="45"/>
        <v>91.872</v>
      </c>
      <c r="AP184" s="32">
        <f t="shared" si="45"/>
        <v>92.862000000000009</v>
      </c>
      <c r="AQ184" s="32">
        <f t="shared" si="45"/>
        <v>93.852000000000004</v>
      </c>
      <c r="AR184" s="32">
        <f t="shared" si="45"/>
        <v>94.842000000000013</v>
      </c>
      <c r="AS184" s="32">
        <f t="shared" si="45"/>
        <v>95.832000000000008</v>
      </c>
      <c r="AT184" s="32">
        <f t="shared" si="44"/>
        <v>96.822000000000003</v>
      </c>
      <c r="AU184" s="32">
        <f t="shared" si="44"/>
        <v>97.812000000000012</v>
      </c>
      <c r="AV184" s="32">
        <f t="shared" si="44"/>
        <v>98.802000000000007</v>
      </c>
      <c r="AW184" s="32">
        <f t="shared" si="44"/>
        <v>99.792000000000002</v>
      </c>
      <c r="AX184" s="32">
        <f t="shared" si="44"/>
        <v>100.78200000000001</v>
      </c>
      <c r="AY184" s="32">
        <f t="shared" si="44"/>
        <v>101.77200000000001</v>
      </c>
      <c r="AZ184" s="32">
        <f t="shared" si="44"/>
        <v>102.76200000000001</v>
      </c>
      <c r="BA184" s="16"/>
    </row>
    <row r="185" spans="1:53" hidden="1" x14ac:dyDescent="0.25">
      <c r="A185" s="16"/>
      <c r="B185" s="31">
        <v>49</v>
      </c>
      <c r="C185" s="32">
        <f t="shared" si="43"/>
        <v>54.350999999999999</v>
      </c>
      <c r="D185" s="32">
        <f t="shared" si="43"/>
        <v>55.341000000000008</v>
      </c>
      <c r="E185" s="32">
        <f t="shared" si="43"/>
        <v>56.331000000000003</v>
      </c>
      <c r="F185" s="32">
        <f t="shared" si="43"/>
        <v>57.321000000000005</v>
      </c>
      <c r="G185" s="32">
        <f t="shared" si="43"/>
        <v>58.311</v>
      </c>
      <c r="H185" s="32">
        <f t="shared" si="43"/>
        <v>59.301000000000002</v>
      </c>
      <c r="I185" s="32">
        <f t="shared" si="43"/>
        <v>60.291000000000004</v>
      </c>
      <c r="J185" s="32">
        <f t="shared" si="43"/>
        <v>61.281000000000006</v>
      </c>
      <c r="K185" s="32">
        <f t="shared" si="43"/>
        <v>62.271000000000008</v>
      </c>
      <c r="L185" s="32">
        <f t="shared" si="43"/>
        <v>63.261000000000003</v>
      </c>
      <c r="M185" s="32">
        <f t="shared" si="43"/>
        <v>64.251000000000005</v>
      </c>
      <c r="N185" s="32">
        <f t="shared" si="43"/>
        <v>65.241000000000014</v>
      </c>
      <c r="O185" s="32">
        <f t="shared" si="43"/>
        <v>66.231000000000009</v>
      </c>
      <c r="P185" s="32">
        <f t="shared" si="43"/>
        <v>67.221000000000018</v>
      </c>
      <c r="Q185" s="32">
        <f t="shared" si="43"/>
        <v>68.211000000000013</v>
      </c>
      <c r="R185" s="32">
        <f t="shared" si="43"/>
        <v>69.201000000000008</v>
      </c>
      <c r="S185" s="32">
        <f t="shared" si="42"/>
        <v>70.191000000000017</v>
      </c>
      <c r="T185" s="186">
        <f t="shared" si="42"/>
        <v>71.181000000000012</v>
      </c>
      <c r="U185" s="32">
        <f t="shared" si="42"/>
        <v>72.171000000000021</v>
      </c>
      <c r="V185" s="32">
        <f t="shared" si="42"/>
        <v>73.161000000000016</v>
      </c>
      <c r="W185" s="32">
        <f t="shared" si="42"/>
        <v>74.151000000000025</v>
      </c>
      <c r="X185" s="32">
        <f t="shared" si="42"/>
        <v>75.141000000000005</v>
      </c>
      <c r="Y185" s="32">
        <f t="shared" si="42"/>
        <v>76.131000000000014</v>
      </c>
      <c r="Z185" s="32">
        <f t="shared" si="42"/>
        <v>77.121000000000024</v>
      </c>
      <c r="AA185" s="32">
        <f t="shared" si="39"/>
        <v>78.111000000000018</v>
      </c>
      <c r="AB185" s="32">
        <f t="shared" si="39"/>
        <v>79.101000000000013</v>
      </c>
      <c r="AC185" s="32">
        <f t="shared" si="39"/>
        <v>80.091000000000008</v>
      </c>
      <c r="AD185" s="32">
        <f t="shared" si="45"/>
        <v>81.081000000000017</v>
      </c>
      <c r="AE185" s="32">
        <f t="shared" si="45"/>
        <v>82.071000000000026</v>
      </c>
      <c r="AF185" s="32">
        <f t="shared" si="45"/>
        <v>83.061000000000007</v>
      </c>
      <c r="AG185" s="32">
        <f t="shared" si="45"/>
        <v>84.051000000000016</v>
      </c>
      <c r="AH185" s="32">
        <f t="shared" si="45"/>
        <v>85.041000000000011</v>
      </c>
      <c r="AI185" s="32">
        <f t="shared" si="45"/>
        <v>86.03100000000002</v>
      </c>
      <c r="AJ185" s="32">
        <f t="shared" si="45"/>
        <v>87.021000000000015</v>
      </c>
      <c r="AK185" s="32">
        <f t="shared" si="45"/>
        <v>88.01100000000001</v>
      </c>
      <c r="AL185" s="32">
        <f t="shared" si="45"/>
        <v>89.001000000000019</v>
      </c>
      <c r="AM185" s="32">
        <f t="shared" si="45"/>
        <v>89.991000000000014</v>
      </c>
      <c r="AN185" s="32">
        <f t="shared" si="45"/>
        <v>90.981000000000023</v>
      </c>
      <c r="AO185" s="32">
        <f t="shared" si="45"/>
        <v>91.971000000000018</v>
      </c>
      <c r="AP185" s="32">
        <f t="shared" si="45"/>
        <v>92.961000000000013</v>
      </c>
      <c r="AQ185" s="32">
        <f t="shared" si="45"/>
        <v>93.951000000000022</v>
      </c>
      <c r="AR185" s="32">
        <f t="shared" si="45"/>
        <v>94.941000000000017</v>
      </c>
      <c r="AS185" s="32">
        <f t="shared" si="45"/>
        <v>95.931000000000012</v>
      </c>
      <c r="AT185" s="32">
        <f t="shared" si="44"/>
        <v>96.921000000000021</v>
      </c>
      <c r="AU185" s="32">
        <f t="shared" si="44"/>
        <v>97.911000000000016</v>
      </c>
      <c r="AV185" s="32">
        <f t="shared" si="44"/>
        <v>98.901000000000025</v>
      </c>
      <c r="AW185" s="32">
        <f t="shared" si="44"/>
        <v>99.891000000000005</v>
      </c>
      <c r="AX185" s="32">
        <f t="shared" si="44"/>
        <v>100.88100000000001</v>
      </c>
      <c r="AY185" s="32">
        <f t="shared" si="44"/>
        <v>101.87100000000002</v>
      </c>
      <c r="AZ185" s="32">
        <f t="shared" si="44"/>
        <v>102.86100000000002</v>
      </c>
      <c r="BA185" s="16"/>
    </row>
    <row r="186" spans="1:53" hidden="1" x14ac:dyDescent="0.25">
      <c r="A186" s="16"/>
      <c r="B186" s="31">
        <v>50</v>
      </c>
      <c r="C186" s="32">
        <f t="shared" si="43"/>
        <v>54.45</v>
      </c>
      <c r="D186" s="32">
        <f t="shared" si="43"/>
        <v>55.440000000000005</v>
      </c>
      <c r="E186" s="32">
        <f t="shared" si="43"/>
        <v>56.430000000000007</v>
      </c>
      <c r="F186" s="32">
        <f t="shared" si="43"/>
        <v>57.420000000000009</v>
      </c>
      <c r="G186" s="32">
        <f t="shared" si="43"/>
        <v>58.410000000000004</v>
      </c>
      <c r="H186" s="32">
        <f t="shared" si="43"/>
        <v>59.400000000000006</v>
      </c>
      <c r="I186" s="32">
        <f t="shared" si="43"/>
        <v>60.39</v>
      </c>
      <c r="J186" s="32">
        <f t="shared" si="43"/>
        <v>61.38000000000001</v>
      </c>
      <c r="K186" s="32">
        <f t="shared" si="43"/>
        <v>62.370000000000012</v>
      </c>
      <c r="L186" s="32">
        <f t="shared" si="43"/>
        <v>63.360000000000007</v>
      </c>
      <c r="M186" s="32">
        <f t="shared" si="43"/>
        <v>64.350000000000009</v>
      </c>
      <c r="N186" s="32">
        <f t="shared" si="43"/>
        <v>65.34</v>
      </c>
      <c r="O186" s="32">
        <f t="shared" si="43"/>
        <v>66.330000000000013</v>
      </c>
      <c r="P186" s="32">
        <f t="shared" si="43"/>
        <v>67.320000000000007</v>
      </c>
      <c r="Q186" s="32">
        <f t="shared" si="43"/>
        <v>68.31</v>
      </c>
      <c r="R186" s="32">
        <f t="shared" si="43"/>
        <v>69.300000000000011</v>
      </c>
      <c r="S186" s="32">
        <f t="shared" si="42"/>
        <v>70.290000000000006</v>
      </c>
      <c r="T186" s="186">
        <f t="shared" si="42"/>
        <v>71.28</v>
      </c>
      <c r="U186" s="32">
        <f t="shared" si="42"/>
        <v>72.27000000000001</v>
      </c>
      <c r="V186" s="32">
        <f t="shared" si="42"/>
        <v>73.260000000000019</v>
      </c>
      <c r="W186" s="32">
        <f t="shared" si="42"/>
        <v>74.25</v>
      </c>
      <c r="X186" s="32">
        <f t="shared" si="42"/>
        <v>75.240000000000009</v>
      </c>
      <c r="Y186" s="32">
        <f t="shared" si="42"/>
        <v>76.23</v>
      </c>
      <c r="Z186" s="32">
        <f t="shared" si="42"/>
        <v>77.220000000000013</v>
      </c>
      <c r="AA186" s="32">
        <f t="shared" si="39"/>
        <v>78.210000000000022</v>
      </c>
      <c r="AB186" s="32">
        <f t="shared" si="39"/>
        <v>79.2</v>
      </c>
      <c r="AC186" s="32">
        <f t="shared" si="39"/>
        <v>80.190000000000012</v>
      </c>
      <c r="AD186" s="32">
        <f t="shared" si="45"/>
        <v>81.180000000000007</v>
      </c>
      <c r="AE186" s="32">
        <f t="shared" si="45"/>
        <v>82.170000000000016</v>
      </c>
      <c r="AF186" s="32">
        <f t="shared" si="45"/>
        <v>83.160000000000011</v>
      </c>
      <c r="AG186" s="32">
        <f t="shared" si="45"/>
        <v>84.15</v>
      </c>
      <c r="AH186" s="32">
        <f t="shared" si="45"/>
        <v>85.140000000000015</v>
      </c>
      <c r="AI186" s="32">
        <f t="shared" si="45"/>
        <v>86.13000000000001</v>
      </c>
      <c r="AJ186" s="32">
        <f t="shared" si="45"/>
        <v>87.12</v>
      </c>
      <c r="AK186" s="32">
        <f t="shared" si="45"/>
        <v>88.110000000000014</v>
      </c>
      <c r="AL186" s="32">
        <f t="shared" si="45"/>
        <v>89.100000000000009</v>
      </c>
      <c r="AM186" s="32">
        <f t="shared" si="45"/>
        <v>90.090000000000018</v>
      </c>
      <c r="AN186" s="32">
        <f t="shared" si="45"/>
        <v>91.08</v>
      </c>
      <c r="AO186" s="32">
        <f t="shared" si="45"/>
        <v>92.070000000000007</v>
      </c>
      <c r="AP186" s="32">
        <f t="shared" si="45"/>
        <v>93.060000000000016</v>
      </c>
      <c r="AQ186" s="32">
        <f t="shared" si="45"/>
        <v>94.050000000000011</v>
      </c>
      <c r="AR186" s="32">
        <f t="shared" si="45"/>
        <v>95.04000000000002</v>
      </c>
      <c r="AS186" s="32">
        <f t="shared" si="45"/>
        <v>96.03</v>
      </c>
      <c r="AT186" s="32">
        <f t="shared" si="44"/>
        <v>97.02000000000001</v>
      </c>
      <c r="AU186" s="32">
        <f t="shared" si="44"/>
        <v>98.010000000000019</v>
      </c>
      <c r="AV186" s="32">
        <f t="shared" si="44"/>
        <v>99.000000000000014</v>
      </c>
      <c r="AW186" s="32">
        <f t="shared" si="44"/>
        <v>99.990000000000009</v>
      </c>
      <c r="AX186" s="32">
        <f t="shared" si="44"/>
        <v>100.98</v>
      </c>
      <c r="AY186" s="32">
        <f t="shared" si="44"/>
        <v>101.97000000000001</v>
      </c>
      <c r="AZ186" s="32">
        <f t="shared" si="44"/>
        <v>102.96000000000002</v>
      </c>
      <c r="BA186" s="16"/>
    </row>
    <row r="187" spans="1:53" hidden="1" x14ac:dyDescent="0.25">
      <c r="A187" s="16"/>
      <c r="B187" s="31">
        <v>51</v>
      </c>
      <c r="C187" s="32">
        <f t="shared" si="43"/>
        <v>54.549000000000007</v>
      </c>
      <c r="D187" s="32">
        <f t="shared" si="43"/>
        <v>55.539000000000009</v>
      </c>
      <c r="E187" s="32">
        <f t="shared" si="43"/>
        <v>56.529000000000003</v>
      </c>
      <c r="F187" s="32">
        <f t="shared" si="43"/>
        <v>57.519000000000005</v>
      </c>
      <c r="G187" s="32">
        <f t="shared" si="43"/>
        <v>58.509000000000007</v>
      </c>
      <c r="H187" s="32">
        <f t="shared" si="43"/>
        <v>59.499000000000009</v>
      </c>
      <c r="I187" s="32">
        <f t="shared" si="43"/>
        <v>60.489000000000004</v>
      </c>
      <c r="J187" s="32">
        <f t="shared" si="43"/>
        <v>61.479000000000006</v>
      </c>
      <c r="K187" s="32">
        <f t="shared" si="43"/>
        <v>62.469000000000001</v>
      </c>
      <c r="L187" s="32">
        <f t="shared" si="43"/>
        <v>63.459000000000003</v>
      </c>
      <c r="M187" s="32">
        <f t="shared" si="43"/>
        <v>64.448999999999998</v>
      </c>
      <c r="N187" s="32">
        <f t="shared" si="43"/>
        <v>65.438999999999993</v>
      </c>
      <c r="O187" s="32">
        <f t="shared" si="43"/>
        <v>66.429000000000002</v>
      </c>
      <c r="P187" s="32">
        <f t="shared" si="43"/>
        <v>67.419000000000011</v>
      </c>
      <c r="Q187" s="32">
        <f t="shared" si="43"/>
        <v>68.409000000000006</v>
      </c>
      <c r="R187" s="32">
        <f t="shared" si="43"/>
        <v>69.399000000000001</v>
      </c>
      <c r="S187" s="32">
        <f t="shared" si="42"/>
        <v>70.388999999999996</v>
      </c>
      <c r="T187" s="186">
        <f t="shared" si="42"/>
        <v>71.379000000000005</v>
      </c>
      <c r="U187" s="32">
        <f t="shared" si="42"/>
        <v>72.369</v>
      </c>
      <c r="V187" s="32">
        <f t="shared" si="42"/>
        <v>73.359000000000009</v>
      </c>
      <c r="W187" s="32">
        <f t="shared" si="42"/>
        <v>74.349000000000004</v>
      </c>
      <c r="X187" s="32">
        <f t="shared" si="42"/>
        <v>75.338999999999999</v>
      </c>
      <c r="Y187" s="32">
        <f t="shared" si="42"/>
        <v>76.329000000000008</v>
      </c>
      <c r="Z187" s="32">
        <f t="shared" si="42"/>
        <v>77.319000000000003</v>
      </c>
      <c r="AA187" s="32">
        <f t="shared" si="39"/>
        <v>78.308999999999997</v>
      </c>
      <c r="AB187" s="32">
        <f t="shared" si="39"/>
        <v>79.299000000000007</v>
      </c>
      <c r="AC187" s="32">
        <f t="shared" si="39"/>
        <v>80.289000000000001</v>
      </c>
      <c r="AD187" s="32">
        <f t="shared" si="45"/>
        <v>81.279000000000011</v>
      </c>
      <c r="AE187" s="32">
        <f t="shared" si="45"/>
        <v>82.268999999999991</v>
      </c>
      <c r="AF187" s="32">
        <f t="shared" si="45"/>
        <v>83.259</v>
      </c>
      <c r="AG187" s="32">
        <f t="shared" si="45"/>
        <v>84.249000000000009</v>
      </c>
      <c r="AH187" s="32">
        <f t="shared" si="45"/>
        <v>85.239000000000004</v>
      </c>
      <c r="AI187" s="32">
        <f t="shared" si="45"/>
        <v>86.229000000000013</v>
      </c>
      <c r="AJ187" s="32">
        <f t="shared" si="45"/>
        <v>87.218999999999994</v>
      </c>
      <c r="AK187" s="32">
        <f t="shared" si="45"/>
        <v>88.209000000000003</v>
      </c>
      <c r="AL187" s="32">
        <f t="shared" si="45"/>
        <v>89.199000000000012</v>
      </c>
      <c r="AM187" s="32">
        <f t="shared" si="45"/>
        <v>90.189000000000007</v>
      </c>
      <c r="AN187" s="32">
        <f t="shared" si="45"/>
        <v>91.179000000000002</v>
      </c>
      <c r="AO187" s="32">
        <f t="shared" si="45"/>
        <v>92.168999999999997</v>
      </c>
      <c r="AP187" s="32">
        <f t="shared" si="45"/>
        <v>93.159000000000006</v>
      </c>
      <c r="AQ187" s="32">
        <f t="shared" si="45"/>
        <v>94.149000000000015</v>
      </c>
      <c r="AR187" s="32">
        <f t="shared" si="45"/>
        <v>95.138999999999996</v>
      </c>
      <c r="AS187" s="32">
        <f t="shared" si="45"/>
        <v>96.129000000000005</v>
      </c>
      <c r="AT187" s="32">
        <f t="shared" si="44"/>
        <v>97.119</v>
      </c>
      <c r="AU187" s="32">
        <f t="shared" si="44"/>
        <v>98.109000000000009</v>
      </c>
      <c r="AV187" s="32">
        <f t="shared" si="44"/>
        <v>99.099000000000018</v>
      </c>
      <c r="AW187" s="32">
        <f t="shared" si="44"/>
        <v>100.089</v>
      </c>
      <c r="AX187" s="32">
        <f t="shared" si="44"/>
        <v>101.07900000000001</v>
      </c>
      <c r="AY187" s="32">
        <f t="shared" si="44"/>
        <v>102.069</v>
      </c>
      <c r="AZ187" s="32">
        <f t="shared" si="44"/>
        <v>103.05900000000001</v>
      </c>
      <c r="BA187" s="16"/>
    </row>
    <row r="188" spans="1:53" hidden="1" x14ac:dyDescent="0.25">
      <c r="A188" s="16"/>
      <c r="B188" s="31">
        <v>52</v>
      </c>
      <c r="C188" s="32">
        <f t="shared" si="43"/>
        <v>54.64800000000001</v>
      </c>
      <c r="D188" s="32">
        <f t="shared" si="43"/>
        <v>55.638000000000012</v>
      </c>
      <c r="E188" s="32">
        <f t="shared" si="43"/>
        <v>56.628000000000007</v>
      </c>
      <c r="F188" s="32">
        <f t="shared" si="43"/>
        <v>57.618000000000009</v>
      </c>
      <c r="G188" s="32">
        <f t="shared" si="43"/>
        <v>58.608000000000004</v>
      </c>
      <c r="H188" s="32">
        <f t="shared" si="43"/>
        <v>59.598000000000013</v>
      </c>
      <c r="I188" s="32">
        <f t="shared" si="43"/>
        <v>60.588000000000008</v>
      </c>
      <c r="J188" s="32">
        <f t="shared" si="43"/>
        <v>61.57800000000001</v>
      </c>
      <c r="K188" s="32">
        <f t="shared" si="43"/>
        <v>62.568000000000005</v>
      </c>
      <c r="L188" s="32">
        <f t="shared" si="43"/>
        <v>63.558000000000007</v>
      </c>
      <c r="M188" s="32">
        <f t="shared" si="43"/>
        <v>64.548000000000016</v>
      </c>
      <c r="N188" s="32">
        <f t="shared" si="43"/>
        <v>65.538000000000011</v>
      </c>
      <c r="O188" s="32">
        <f t="shared" si="43"/>
        <v>66.528000000000006</v>
      </c>
      <c r="P188" s="32">
        <f t="shared" si="43"/>
        <v>67.518000000000015</v>
      </c>
      <c r="Q188" s="32">
        <f t="shared" si="43"/>
        <v>68.50800000000001</v>
      </c>
      <c r="R188" s="32">
        <f t="shared" si="43"/>
        <v>69.498000000000019</v>
      </c>
      <c r="S188" s="32">
        <f t="shared" si="42"/>
        <v>70.488</v>
      </c>
      <c r="T188" s="186">
        <f t="shared" si="42"/>
        <v>71.478000000000009</v>
      </c>
      <c r="U188" s="32">
        <f t="shared" si="42"/>
        <v>72.468000000000018</v>
      </c>
      <c r="V188" s="32">
        <f t="shared" si="42"/>
        <v>73.458000000000013</v>
      </c>
      <c r="W188" s="32">
        <f t="shared" si="42"/>
        <v>74.448000000000008</v>
      </c>
      <c r="X188" s="32">
        <f t="shared" si="42"/>
        <v>75.438000000000002</v>
      </c>
      <c r="Y188" s="32">
        <f t="shared" si="42"/>
        <v>76.428000000000011</v>
      </c>
      <c r="Z188" s="32">
        <f t="shared" si="42"/>
        <v>77.418000000000021</v>
      </c>
      <c r="AA188" s="32">
        <f t="shared" si="39"/>
        <v>78.408000000000001</v>
      </c>
      <c r="AB188" s="32">
        <f t="shared" si="39"/>
        <v>79.39800000000001</v>
      </c>
      <c r="AC188" s="32">
        <f t="shared" si="39"/>
        <v>80.388000000000005</v>
      </c>
      <c r="AD188" s="32">
        <f t="shared" si="45"/>
        <v>81.378000000000014</v>
      </c>
      <c r="AE188" s="32">
        <f t="shared" si="45"/>
        <v>82.368000000000023</v>
      </c>
      <c r="AF188" s="32">
        <f t="shared" si="45"/>
        <v>83.358000000000004</v>
      </c>
      <c r="AG188" s="32">
        <f t="shared" si="45"/>
        <v>84.348000000000013</v>
      </c>
      <c r="AH188" s="32">
        <f t="shared" si="45"/>
        <v>85.338000000000008</v>
      </c>
      <c r="AI188" s="32">
        <f t="shared" si="45"/>
        <v>86.328000000000017</v>
      </c>
      <c r="AJ188" s="32">
        <f t="shared" si="45"/>
        <v>87.318000000000012</v>
      </c>
      <c r="AK188" s="32">
        <f t="shared" si="45"/>
        <v>88.308000000000007</v>
      </c>
      <c r="AL188" s="32">
        <f t="shared" si="45"/>
        <v>89.298000000000016</v>
      </c>
      <c r="AM188" s="32">
        <f t="shared" si="45"/>
        <v>90.288000000000011</v>
      </c>
      <c r="AN188" s="32">
        <f t="shared" si="45"/>
        <v>91.278000000000006</v>
      </c>
      <c r="AO188" s="32">
        <f t="shared" si="45"/>
        <v>92.268000000000015</v>
      </c>
      <c r="AP188" s="32">
        <f t="shared" si="45"/>
        <v>93.25800000000001</v>
      </c>
      <c r="AQ188" s="32">
        <f t="shared" si="45"/>
        <v>94.248000000000019</v>
      </c>
      <c r="AR188" s="32">
        <f t="shared" si="45"/>
        <v>95.238</v>
      </c>
      <c r="AS188" s="32">
        <f t="shared" si="45"/>
        <v>96.228000000000009</v>
      </c>
      <c r="AT188" s="32">
        <f t="shared" si="44"/>
        <v>97.218000000000018</v>
      </c>
      <c r="AU188" s="32">
        <f t="shared" si="44"/>
        <v>98.208000000000013</v>
      </c>
      <c r="AV188" s="32">
        <f t="shared" si="44"/>
        <v>99.198000000000022</v>
      </c>
      <c r="AW188" s="32">
        <f t="shared" si="44"/>
        <v>100.188</v>
      </c>
      <c r="AX188" s="32">
        <f t="shared" si="44"/>
        <v>101.17800000000001</v>
      </c>
      <c r="AY188" s="32">
        <f t="shared" si="44"/>
        <v>102.16800000000002</v>
      </c>
      <c r="AZ188" s="32">
        <f t="shared" si="44"/>
        <v>103.15800000000002</v>
      </c>
      <c r="BA188" s="16"/>
    </row>
    <row r="189" spans="1:53" hidden="1" x14ac:dyDescent="0.25">
      <c r="A189" s="16"/>
      <c r="B189" s="31">
        <v>53</v>
      </c>
      <c r="C189" s="32">
        <f t="shared" si="43"/>
        <v>54.747</v>
      </c>
      <c r="D189" s="32">
        <f t="shared" si="43"/>
        <v>55.737000000000009</v>
      </c>
      <c r="E189" s="32">
        <f t="shared" si="43"/>
        <v>56.727000000000004</v>
      </c>
      <c r="F189" s="32">
        <f t="shared" si="43"/>
        <v>57.717000000000006</v>
      </c>
      <c r="G189" s="32">
        <f t="shared" si="43"/>
        <v>58.707000000000001</v>
      </c>
      <c r="H189" s="32">
        <f t="shared" si="43"/>
        <v>59.697000000000003</v>
      </c>
      <c r="I189" s="32">
        <f t="shared" si="43"/>
        <v>60.687000000000005</v>
      </c>
      <c r="J189" s="32">
        <f t="shared" si="43"/>
        <v>61.677000000000007</v>
      </c>
      <c r="K189" s="32">
        <f t="shared" si="43"/>
        <v>62.667000000000002</v>
      </c>
      <c r="L189" s="32">
        <f t="shared" si="43"/>
        <v>63.657000000000004</v>
      </c>
      <c r="M189" s="32">
        <f t="shared" si="43"/>
        <v>64.647000000000006</v>
      </c>
      <c r="N189" s="32">
        <f t="shared" si="43"/>
        <v>65.637</v>
      </c>
      <c r="O189" s="32">
        <f t="shared" si="43"/>
        <v>66.62700000000001</v>
      </c>
      <c r="P189" s="32">
        <f t="shared" si="43"/>
        <v>67.617000000000004</v>
      </c>
      <c r="Q189" s="32">
        <f t="shared" si="43"/>
        <v>68.606999999999999</v>
      </c>
      <c r="R189" s="32">
        <f t="shared" si="43"/>
        <v>69.596999999999994</v>
      </c>
      <c r="S189" s="32">
        <f t="shared" si="42"/>
        <v>70.587000000000003</v>
      </c>
      <c r="T189" s="186">
        <f t="shared" si="42"/>
        <v>71.576999999999998</v>
      </c>
      <c r="U189" s="32">
        <f t="shared" si="42"/>
        <v>72.567000000000007</v>
      </c>
      <c r="V189" s="32">
        <f t="shared" si="42"/>
        <v>73.557000000000016</v>
      </c>
      <c r="W189" s="32">
        <f t="shared" si="42"/>
        <v>74.546999999999997</v>
      </c>
      <c r="X189" s="32">
        <f t="shared" si="42"/>
        <v>75.537000000000006</v>
      </c>
      <c r="Y189" s="32">
        <f t="shared" si="42"/>
        <v>76.527000000000001</v>
      </c>
      <c r="Z189" s="32">
        <f t="shared" si="42"/>
        <v>77.51700000000001</v>
      </c>
      <c r="AA189" s="32">
        <f t="shared" si="39"/>
        <v>78.507000000000005</v>
      </c>
      <c r="AB189" s="32">
        <f t="shared" si="39"/>
        <v>79.497</v>
      </c>
      <c r="AC189" s="32">
        <f t="shared" si="39"/>
        <v>80.487000000000009</v>
      </c>
      <c r="AD189" s="32">
        <f t="shared" si="45"/>
        <v>81.477000000000004</v>
      </c>
      <c r="AE189" s="32">
        <f t="shared" si="45"/>
        <v>82.466999999999999</v>
      </c>
      <c r="AF189" s="32">
        <f t="shared" si="45"/>
        <v>83.457000000000008</v>
      </c>
      <c r="AG189" s="32">
        <f t="shared" si="45"/>
        <v>84.447000000000003</v>
      </c>
      <c r="AH189" s="32">
        <f t="shared" si="45"/>
        <v>85.437000000000012</v>
      </c>
      <c r="AI189" s="32">
        <f t="shared" si="45"/>
        <v>86.426999999999992</v>
      </c>
      <c r="AJ189" s="32">
        <f t="shared" si="45"/>
        <v>87.417000000000002</v>
      </c>
      <c r="AK189" s="32">
        <f t="shared" si="45"/>
        <v>88.407000000000011</v>
      </c>
      <c r="AL189" s="32">
        <f t="shared" si="45"/>
        <v>89.397000000000006</v>
      </c>
      <c r="AM189" s="32">
        <f t="shared" si="45"/>
        <v>90.387000000000015</v>
      </c>
      <c r="AN189" s="32">
        <f t="shared" si="45"/>
        <v>91.376999999999995</v>
      </c>
      <c r="AO189" s="32">
        <f t="shared" si="45"/>
        <v>92.367000000000004</v>
      </c>
      <c r="AP189" s="32">
        <f t="shared" si="45"/>
        <v>93.357000000000014</v>
      </c>
      <c r="AQ189" s="32">
        <f t="shared" si="45"/>
        <v>94.347000000000008</v>
      </c>
      <c r="AR189" s="32">
        <f t="shared" si="45"/>
        <v>95.337000000000003</v>
      </c>
      <c r="AS189" s="32">
        <f t="shared" si="45"/>
        <v>96.326999999999998</v>
      </c>
      <c r="AT189" s="32">
        <f t="shared" si="44"/>
        <v>97.317000000000007</v>
      </c>
      <c r="AU189" s="32">
        <f t="shared" si="44"/>
        <v>98.307000000000016</v>
      </c>
      <c r="AV189" s="32">
        <f t="shared" si="44"/>
        <v>99.296999999999997</v>
      </c>
      <c r="AW189" s="32">
        <f t="shared" si="44"/>
        <v>100.28700000000001</v>
      </c>
      <c r="AX189" s="32">
        <f t="shared" si="44"/>
        <v>101.277</v>
      </c>
      <c r="AY189" s="32">
        <f t="shared" si="44"/>
        <v>102.26700000000001</v>
      </c>
      <c r="AZ189" s="32">
        <f t="shared" si="44"/>
        <v>103.25700000000002</v>
      </c>
      <c r="BA189" s="16"/>
    </row>
    <row r="190" spans="1:53" hidden="1" x14ac:dyDescent="0.25">
      <c r="A190" s="16"/>
      <c r="B190" s="31">
        <v>54</v>
      </c>
      <c r="C190" s="32">
        <f t="shared" si="43"/>
        <v>54.846000000000004</v>
      </c>
      <c r="D190" s="32">
        <f t="shared" si="43"/>
        <v>55.836000000000006</v>
      </c>
      <c r="E190" s="32">
        <f t="shared" si="43"/>
        <v>56.826000000000001</v>
      </c>
      <c r="F190" s="32">
        <f t="shared" si="43"/>
        <v>57.81600000000001</v>
      </c>
      <c r="G190" s="32">
        <f t="shared" si="43"/>
        <v>58.806000000000004</v>
      </c>
      <c r="H190" s="32">
        <f t="shared" si="43"/>
        <v>59.796000000000006</v>
      </c>
      <c r="I190" s="32">
        <f t="shared" si="43"/>
        <v>60.786000000000001</v>
      </c>
      <c r="J190" s="32">
        <f t="shared" si="43"/>
        <v>61.776000000000003</v>
      </c>
      <c r="K190" s="32">
        <f t="shared" si="43"/>
        <v>62.766000000000005</v>
      </c>
      <c r="L190" s="32">
        <f t="shared" si="43"/>
        <v>63.756000000000014</v>
      </c>
      <c r="M190" s="32">
        <f t="shared" si="43"/>
        <v>64.746000000000009</v>
      </c>
      <c r="N190" s="32">
        <f t="shared" si="43"/>
        <v>65.736000000000004</v>
      </c>
      <c r="O190" s="32">
        <f t="shared" si="43"/>
        <v>66.726000000000013</v>
      </c>
      <c r="P190" s="32">
        <f t="shared" si="43"/>
        <v>67.716000000000022</v>
      </c>
      <c r="Q190" s="32">
        <f t="shared" si="43"/>
        <v>68.706000000000017</v>
      </c>
      <c r="R190" s="32">
        <f t="shared" si="43"/>
        <v>69.696000000000012</v>
      </c>
      <c r="S190" s="32">
        <f t="shared" si="42"/>
        <v>70.686000000000007</v>
      </c>
      <c r="T190" s="186">
        <f t="shared" si="42"/>
        <v>71.676000000000016</v>
      </c>
      <c r="U190" s="32">
        <f t="shared" si="42"/>
        <v>72.666000000000011</v>
      </c>
      <c r="V190" s="32">
        <f t="shared" si="42"/>
        <v>73.65600000000002</v>
      </c>
      <c r="W190" s="32">
        <f t="shared" si="42"/>
        <v>74.646000000000015</v>
      </c>
      <c r="X190" s="32">
        <f t="shared" si="42"/>
        <v>75.63600000000001</v>
      </c>
      <c r="Y190" s="32">
        <f t="shared" si="42"/>
        <v>76.626000000000019</v>
      </c>
      <c r="Z190" s="32">
        <f t="shared" si="42"/>
        <v>77.616000000000014</v>
      </c>
      <c r="AA190" s="32">
        <f t="shared" si="39"/>
        <v>78.606000000000009</v>
      </c>
      <c r="AB190" s="32">
        <f t="shared" si="39"/>
        <v>79.596000000000018</v>
      </c>
      <c r="AC190" s="32">
        <f t="shared" si="39"/>
        <v>80.586000000000013</v>
      </c>
      <c r="AD190" s="32">
        <f t="shared" si="45"/>
        <v>81.576000000000022</v>
      </c>
      <c r="AE190" s="32">
        <f t="shared" si="45"/>
        <v>82.566000000000003</v>
      </c>
      <c r="AF190" s="32">
        <f t="shared" si="45"/>
        <v>83.556000000000012</v>
      </c>
      <c r="AG190" s="32">
        <f t="shared" si="45"/>
        <v>84.546000000000021</v>
      </c>
      <c r="AH190" s="32">
        <f t="shared" si="45"/>
        <v>85.536000000000016</v>
      </c>
      <c r="AI190" s="32">
        <f t="shared" si="45"/>
        <v>86.526000000000025</v>
      </c>
      <c r="AJ190" s="32">
        <f t="shared" si="45"/>
        <v>87.516000000000005</v>
      </c>
      <c r="AK190" s="32">
        <f t="shared" si="45"/>
        <v>88.506000000000014</v>
      </c>
      <c r="AL190" s="32">
        <f t="shared" si="45"/>
        <v>89.496000000000024</v>
      </c>
      <c r="AM190" s="32">
        <f t="shared" si="45"/>
        <v>90.486000000000018</v>
      </c>
      <c r="AN190" s="32">
        <f t="shared" si="45"/>
        <v>91.476000000000013</v>
      </c>
      <c r="AO190" s="32">
        <f t="shared" si="45"/>
        <v>92.466000000000008</v>
      </c>
      <c r="AP190" s="32">
        <f t="shared" si="45"/>
        <v>93.456000000000017</v>
      </c>
      <c r="AQ190" s="32">
        <f t="shared" si="45"/>
        <v>94.446000000000026</v>
      </c>
      <c r="AR190" s="32">
        <f t="shared" si="45"/>
        <v>95.436000000000007</v>
      </c>
      <c r="AS190" s="32">
        <f t="shared" si="45"/>
        <v>96.426000000000016</v>
      </c>
      <c r="AT190" s="32">
        <f t="shared" si="44"/>
        <v>97.416000000000011</v>
      </c>
      <c r="AU190" s="32">
        <f t="shared" si="44"/>
        <v>98.40600000000002</v>
      </c>
      <c r="AV190" s="32">
        <f t="shared" si="44"/>
        <v>99.396000000000029</v>
      </c>
      <c r="AW190" s="32">
        <f t="shared" si="44"/>
        <v>100.38600000000001</v>
      </c>
      <c r="AX190" s="32">
        <f t="shared" si="44"/>
        <v>101.37600000000002</v>
      </c>
      <c r="AY190" s="32">
        <f t="shared" si="44"/>
        <v>102.36600000000001</v>
      </c>
      <c r="AZ190" s="32">
        <f t="shared" si="44"/>
        <v>103.35600000000002</v>
      </c>
      <c r="BA190" s="16"/>
    </row>
    <row r="191" spans="1:53" hidden="1" x14ac:dyDescent="0.25">
      <c r="A191" s="16"/>
      <c r="B191" s="31">
        <v>55</v>
      </c>
      <c r="C191" s="32">
        <f t="shared" si="43"/>
        <v>54.945000000000007</v>
      </c>
      <c r="D191" s="32">
        <f t="shared" si="43"/>
        <v>55.935000000000009</v>
      </c>
      <c r="E191" s="32">
        <f t="shared" si="43"/>
        <v>56.925000000000004</v>
      </c>
      <c r="F191" s="32">
        <f t="shared" si="43"/>
        <v>57.915000000000006</v>
      </c>
      <c r="G191" s="32">
        <f t="shared" si="43"/>
        <v>58.905000000000008</v>
      </c>
      <c r="H191" s="32">
        <f t="shared" si="43"/>
        <v>59.89500000000001</v>
      </c>
      <c r="I191" s="32">
        <f t="shared" si="43"/>
        <v>60.885000000000005</v>
      </c>
      <c r="J191" s="32">
        <f t="shared" si="43"/>
        <v>61.875000000000007</v>
      </c>
      <c r="K191" s="32">
        <f t="shared" si="43"/>
        <v>62.865000000000002</v>
      </c>
      <c r="L191" s="32">
        <f t="shared" si="43"/>
        <v>63.855000000000011</v>
      </c>
      <c r="M191" s="32">
        <f t="shared" si="43"/>
        <v>64.845000000000013</v>
      </c>
      <c r="N191" s="32">
        <f t="shared" si="43"/>
        <v>65.835000000000008</v>
      </c>
      <c r="O191" s="32">
        <f t="shared" si="43"/>
        <v>66.825000000000003</v>
      </c>
      <c r="P191" s="32">
        <f t="shared" si="43"/>
        <v>67.814999999999998</v>
      </c>
      <c r="Q191" s="32">
        <f t="shared" si="43"/>
        <v>68.805000000000007</v>
      </c>
      <c r="R191" s="32">
        <f t="shared" si="43"/>
        <v>69.795000000000002</v>
      </c>
      <c r="S191" s="32">
        <f t="shared" si="42"/>
        <v>70.785000000000011</v>
      </c>
      <c r="T191" s="186">
        <f t="shared" si="42"/>
        <v>71.775000000000006</v>
      </c>
      <c r="U191" s="32">
        <f t="shared" si="42"/>
        <v>72.765000000000015</v>
      </c>
      <c r="V191" s="32">
        <f t="shared" si="42"/>
        <v>73.75500000000001</v>
      </c>
      <c r="W191" s="32">
        <f t="shared" si="42"/>
        <v>74.745000000000005</v>
      </c>
      <c r="X191" s="32">
        <f t="shared" si="42"/>
        <v>75.735000000000014</v>
      </c>
      <c r="Y191" s="32">
        <f t="shared" si="42"/>
        <v>76.725000000000009</v>
      </c>
      <c r="Z191" s="32">
        <f t="shared" si="42"/>
        <v>77.715000000000018</v>
      </c>
      <c r="AA191" s="32">
        <f t="shared" si="39"/>
        <v>78.704999999999998</v>
      </c>
      <c r="AB191" s="32">
        <f t="shared" si="39"/>
        <v>79.695000000000007</v>
      </c>
      <c r="AC191" s="32">
        <f t="shared" si="39"/>
        <v>80.685000000000016</v>
      </c>
      <c r="AD191" s="32">
        <f t="shared" si="45"/>
        <v>81.675000000000011</v>
      </c>
      <c r="AE191" s="32">
        <f t="shared" si="45"/>
        <v>82.665000000000006</v>
      </c>
      <c r="AF191" s="32">
        <f t="shared" si="45"/>
        <v>83.655000000000001</v>
      </c>
      <c r="AG191" s="32">
        <f t="shared" si="45"/>
        <v>84.64500000000001</v>
      </c>
      <c r="AH191" s="32">
        <f t="shared" si="45"/>
        <v>85.635000000000019</v>
      </c>
      <c r="AI191" s="32">
        <f t="shared" si="45"/>
        <v>86.625</v>
      </c>
      <c r="AJ191" s="32">
        <f t="shared" si="45"/>
        <v>87.615000000000009</v>
      </c>
      <c r="AK191" s="32">
        <f t="shared" si="45"/>
        <v>88.605000000000004</v>
      </c>
      <c r="AL191" s="32">
        <f t="shared" si="45"/>
        <v>89.595000000000013</v>
      </c>
      <c r="AM191" s="32">
        <f t="shared" si="45"/>
        <v>90.585000000000022</v>
      </c>
      <c r="AN191" s="32">
        <f t="shared" si="45"/>
        <v>91.575000000000003</v>
      </c>
      <c r="AO191" s="32">
        <f t="shared" si="45"/>
        <v>92.565000000000012</v>
      </c>
      <c r="AP191" s="32">
        <f t="shared" si="45"/>
        <v>93.555000000000007</v>
      </c>
      <c r="AQ191" s="32">
        <f t="shared" si="45"/>
        <v>94.545000000000016</v>
      </c>
      <c r="AR191" s="32">
        <f t="shared" si="45"/>
        <v>95.535000000000011</v>
      </c>
      <c r="AS191" s="32">
        <f t="shared" si="45"/>
        <v>96.525000000000006</v>
      </c>
      <c r="AT191" s="32">
        <f t="shared" si="44"/>
        <v>97.515000000000015</v>
      </c>
      <c r="AU191" s="32">
        <f t="shared" si="44"/>
        <v>98.50500000000001</v>
      </c>
      <c r="AV191" s="32">
        <f t="shared" si="44"/>
        <v>99.495000000000005</v>
      </c>
      <c r="AW191" s="32">
        <f t="shared" si="44"/>
        <v>100.48500000000001</v>
      </c>
      <c r="AX191" s="32">
        <f t="shared" si="44"/>
        <v>101.47500000000001</v>
      </c>
      <c r="AY191" s="32">
        <f t="shared" si="44"/>
        <v>102.46500000000002</v>
      </c>
      <c r="AZ191" s="32">
        <f t="shared" si="44"/>
        <v>103.455</v>
      </c>
      <c r="BA191" s="16"/>
    </row>
    <row r="192" spans="1:53" hidden="1" x14ac:dyDescent="0.25">
      <c r="A192" s="16"/>
      <c r="B192" s="31">
        <v>56</v>
      </c>
      <c r="C192" s="32">
        <f t="shared" si="43"/>
        <v>55.044000000000004</v>
      </c>
      <c r="D192" s="32">
        <f t="shared" si="43"/>
        <v>56.034000000000013</v>
      </c>
      <c r="E192" s="32">
        <f t="shared" si="43"/>
        <v>57.024000000000008</v>
      </c>
      <c r="F192" s="32">
        <f t="shared" si="43"/>
        <v>58.01400000000001</v>
      </c>
      <c r="G192" s="32">
        <f t="shared" si="43"/>
        <v>59.004000000000005</v>
      </c>
      <c r="H192" s="32">
        <f t="shared" si="43"/>
        <v>59.994000000000007</v>
      </c>
      <c r="I192" s="32">
        <f t="shared" si="43"/>
        <v>60.984000000000009</v>
      </c>
      <c r="J192" s="32">
        <f t="shared" si="43"/>
        <v>61.974000000000011</v>
      </c>
      <c r="K192" s="32">
        <f t="shared" si="43"/>
        <v>62.964000000000006</v>
      </c>
      <c r="L192" s="32">
        <f t="shared" si="43"/>
        <v>63.954000000000001</v>
      </c>
      <c r="M192" s="32">
        <f t="shared" si="43"/>
        <v>64.944000000000003</v>
      </c>
      <c r="N192" s="32">
        <f t="shared" si="43"/>
        <v>65.933999999999997</v>
      </c>
      <c r="O192" s="32">
        <f t="shared" si="43"/>
        <v>66.924000000000007</v>
      </c>
      <c r="P192" s="32">
        <f t="shared" si="43"/>
        <v>67.914000000000001</v>
      </c>
      <c r="Q192" s="32">
        <f t="shared" si="43"/>
        <v>68.903999999999996</v>
      </c>
      <c r="R192" s="32">
        <f t="shared" si="43"/>
        <v>69.894000000000005</v>
      </c>
      <c r="S192" s="32">
        <f t="shared" si="42"/>
        <v>70.884</v>
      </c>
      <c r="T192" s="186">
        <f t="shared" si="42"/>
        <v>71.874000000000009</v>
      </c>
      <c r="U192" s="32">
        <f t="shared" si="42"/>
        <v>72.864000000000004</v>
      </c>
      <c r="V192" s="32">
        <f t="shared" si="42"/>
        <v>73.854000000000013</v>
      </c>
      <c r="W192" s="32">
        <f t="shared" si="42"/>
        <v>74.843999999999994</v>
      </c>
      <c r="X192" s="32">
        <f t="shared" si="42"/>
        <v>75.834000000000003</v>
      </c>
      <c r="Y192" s="32">
        <f t="shared" si="42"/>
        <v>76.824000000000012</v>
      </c>
      <c r="Z192" s="32">
        <f t="shared" si="42"/>
        <v>77.814000000000007</v>
      </c>
      <c r="AA192" s="32">
        <f t="shared" si="39"/>
        <v>78.804000000000002</v>
      </c>
      <c r="AB192" s="32">
        <f t="shared" si="39"/>
        <v>79.793999999999997</v>
      </c>
      <c r="AC192" s="32">
        <f t="shared" si="39"/>
        <v>80.784000000000006</v>
      </c>
      <c r="AD192" s="32">
        <f t="shared" si="45"/>
        <v>81.774000000000015</v>
      </c>
      <c r="AE192" s="32">
        <f t="shared" si="45"/>
        <v>82.763999999999996</v>
      </c>
      <c r="AF192" s="32">
        <f t="shared" si="45"/>
        <v>83.754000000000005</v>
      </c>
      <c r="AG192" s="32">
        <f t="shared" si="45"/>
        <v>84.744</v>
      </c>
      <c r="AH192" s="32">
        <f t="shared" si="45"/>
        <v>85.734000000000009</v>
      </c>
      <c r="AI192" s="32">
        <f t="shared" si="45"/>
        <v>86.724000000000004</v>
      </c>
      <c r="AJ192" s="32">
        <f t="shared" si="45"/>
        <v>87.713999999999999</v>
      </c>
      <c r="AK192" s="32">
        <f t="shared" si="45"/>
        <v>88.704000000000008</v>
      </c>
      <c r="AL192" s="32">
        <f t="shared" si="45"/>
        <v>89.694000000000003</v>
      </c>
      <c r="AM192" s="32">
        <f t="shared" si="45"/>
        <v>90.684000000000012</v>
      </c>
      <c r="AN192" s="32">
        <f t="shared" si="45"/>
        <v>91.674000000000007</v>
      </c>
      <c r="AO192" s="32">
        <f t="shared" si="45"/>
        <v>92.664000000000001</v>
      </c>
      <c r="AP192" s="32">
        <f t="shared" si="45"/>
        <v>93.654000000000011</v>
      </c>
      <c r="AQ192" s="32">
        <f t="shared" si="45"/>
        <v>94.644000000000005</v>
      </c>
      <c r="AR192" s="32">
        <f t="shared" si="45"/>
        <v>95.634</v>
      </c>
      <c r="AS192" s="32">
        <f t="shared" si="45"/>
        <v>96.624000000000009</v>
      </c>
      <c r="AT192" s="32">
        <f t="shared" si="44"/>
        <v>97.614000000000004</v>
      </c>
      <c r="AU192" s="32">
        <f t="shared" si="44"/>
        <v>98.604000000000013</v>
      </c>
      <c r="AV192" s="32">
        <f t="shared" si="44"/>
        <v>99.593999999999994</v>
      </c>
      <c r="AW192" s="32">
        <f t="shared" si="44"/>
        <v>100.584</v>
      </c>
      <c r="AX192" s="32">
        <f t="shared" si="44"/>
        <v>101.57400000000001</v>
      </c>
      <c r="AY192" s="32">
        <f t="shared" si="44"/>
        <v>102.56400000000001</v>
      </c>
      <c r="AZ192" s="32">
        <f t="shared" si="44"/>
        <v>103.554</v>
      </c>
      <c r="BA192" s="16"/>
    </row>
    <row r="193" spans="1:53" hidden="1" x14ac:dyDescent="0.25">
      <c r="A193" s="16"/>
      <c r="B193" s="31">
        <v>57</v>
      </c>
      <c r="C193" s="32">
        <f t="shared" si="43"/>
        <v>55.143000000000008</v>
      </c>
      <c r="D193" s="32">
        <f t="shared" si="43"/>
        <v>56.133000000000003</v>
      </c>
      <c r="E193" s="32">
        <f t="shared" si="43"/>
        <v>57.123000000000012</v>
      </c>
      <c r="F193" s="32">
        <f t="shared" si="43"/>
        <v>58.113000000000014</v>
      </c>
      <c r="G193" s="32">
        <f t="shared" si="43"/>
        <v>59.103000000000009</v>
      </c>
      <c r="H193" s="32">
        <f t="shared" si="43"/>
        <v>60.093000000000011</v>
      </c>
      <c r="I193" s="32">
        <f t="shared" si="43"/>
        <v>61.083000000000006</v>
      </c>
      <c r="J193" s="32">
        <f t="shared" si="43"/>
        <v>62.073000000000015</v>
      </c>
      <c r="K193" s="32">
        <f t="shared" si="43"/>
        <v>63.063000000000009</v>
      </c>
      <c r="L193" s="32">
        <f t="shared" si="43"/>
        <v>64.053000000000011</v>
      </c>
      <c r="M193" s="32">
        <f t="shared" si="43"/>
        <v>65.043000000000006</v>
      </c>
      <c r="N193" s="32">
        <f t="shared" si="43"/>
        <v>66.033000000000001</v>
      </c>
      <c r="O193" s="32">
        <f t="shared" si="43"/>
        <v>67.02300000000001</v>
      </c>
      <c r="P193" s="32">
        <f t="shared" si="43"/>
        <v>68.013000000000005</v>
      </c>
      <c r="Q193" s="32">
        <f t="shared" si="43"/>
        <v>69.003000000000014</v>
      </c>
      <c r="R193" s="32">
        <f t="shared" ref="R193:AG208" si="46">(R$16-100+$B193/10)*0.9*1.1</f>
        <v>69.993000000000009</v>
      </c>
      <c r="S193" s="32">
        <f t="shared" si="46"/>
        <v>70.983000000000004</v>
      </c>
      <c r="T193" s="186">
        <f t="shared" si="46"/>
        <v>71.973000000000013</v>
      </c>
      <c r="U193" s="32">
        <f t="shared" si="46"/>
        <v>72.963000000000008</v>
      </c>
      <c r="V193" s="32">
        <f t="shared" si="46"/>
        <v>73.953000000000017</v>
      </c>
      <c r="W193" s="32">
        <f t="shared" si="46"/>
        <v>74.943000000000012</v>
      </c>
      <c r="X193" s="32">
        <f t="shared" si="46"/>
        <v>75.933000000000007</v>
      </c>
      <c r="Y193" s="32">
        <f t="shared" si="46"/>
        <v>76.923000000000016</v>
      </c>
      <c r="Z193" s="32">
        <f t="shared" si="46"/>
        <v>77.913000000000011</v>
      </c>
      <c r="AA193" s="32">
        <f t="shared" si="46"/>
        <v>78.903000000000006</v>
      </c>
      <c r="AB193" s="32">
        <f t="shared" si="46"/>
        <v>79.893000000000015</v>
      </c>
      <c r="AC193" s="32">
        <f t="shared" si="46"/>
        <v>80.88300000000001</v>
      </c>
      <c r="AD193" s="32">
        <f t="shared" si="46"/>
        <v>81.873000000000019</v>
      </c>
      <c r="AE193" s="32">
        <f t="shared" si="46"/>
        <v>82.863</v>
      </c>
      <c r="AF193" s="32">
        <f t="shared" si="46"/>
        <v>83.853000000000009</v>
      </c>
      <c r="AG193" s="32">
        <f t="shared" si="46"/>
        <v>84.843000000000018</v>
      </c>
      <c r="AH193" s="32">
        <f t="shared" si="45"/>
        <v>85.833000000000013</v>
      </c>
      <c r="AI193" s="32">
        <f t="shared" si="45"/>
        <v>86.823000000000008</v>
      </c>
      <c r="AJ193" s="32">
        <f t="shared" si="45"/>
        <v>87.813000000000002</v>
      </c>
      <c r="AK193" s="32">
        <f t="shared" si="45"/>
        <v>88.803000000000011</v>
      </c>
      <c r="AL193" s="32">
        <f t="shared" si="45"/>
        <v>89.793000000000021</v>
      </c>
      <c r="AM193" s="32">
        <f t="shared" si="45"/>
        <v>90.783000000000015</v>
      </c>
      <c r="AN193" s="32">
        <f t="shared" si="45"/>
        <v>91.77300000000001</v>
      </c>
      <c r="AO193" s="32">
        <f t="shared" si="45"/>
        <v>92.763000000000005</v>
      </c>
      <c r="AP193" s="32">
        <f t="shared" si="45"/>
        <v>93.753000000000014</v>
      </c>
      <c r="AQ193" s="32">
        <f t="shared" si="45"/>
        <v>94.743000000000023</v>
      </c>
      <c r="AR193" s="32">
        <f t="shared" si="45"/>
        <v>95.733000000000004</v>
      </c>
      <c r="AS193" s="32">
        <f t="shared" si="45"/>
        <v>96.723000000000013</v>
      </c>
      <c r="AT193" s="32">
        <f t="shared" si="44"/>
        <v>97.713000000000008</v>
      </c>
      <c r="AU193" s="32">
        <f t="shared" si="44"/>
        <v>98.703000000000017</v>
      </c>
      <c r="AV193" s="32">
        <f t="shared" si="44"/>
        <v>99.693000000000012</v>
      </c>
      <c r="AW193" s="32">
        <f t="shared" si="44"/>
        <v>100.68300000000001</v>
      </c>
      <c r="AX193" s="32">
        <f t="shared" si="44"/>
        <v>101.67300000000002</v>
      </c>
      <c r="AY193" s="32">
        <f t="shared" si="44"/>
        <v>102.66300000000001</v>
      </c>
      <c r="AZ193" s="32">
        <f t="shared" si="44"/>
        <v>103.65300000000001</v>
      </c>
      <c r="BA193" s="16"/>
    </row>
    <row r="194" spans="1:53" hidden="1" x14ac:dyDescent="0.25">
      <c r="A194" s="16"/>
      <c r="B194" s="31">
        <v>58</v>
      </c>
      <c r="C194" s="32">
        <f t="shared" ref="C194:R209" si="47">(C$16-100+$B194/10)*0.9*1.1</f>
        <v>55.242000000000004</v>
      </c>
      <c r="D194" s="32">
        <f t="shared" si="47"/>
        <v>56.231999999999999</v>
      </c>
      <c r="E194" s="32">
        <f t="shared" si="47"/>
        <v>57.222000000000001</v>
      </c>
      <c r="F194" s="32">
        <f t="shared" si="47"/>
        <v>58.212000000000003</v>
      </c>
      <c r="G194" s="32">
        <f t="shared" si="47"/>
        <v>59.202000000000005</v>
      </c>
      <c r="H194" s="32">
        <f t="shared" si="47"/>
        <v>60.192</v>
      </c>
      <c r="I194" s="32">
        <f t="shared" si="47"/>
        <v>61.182000000000002</v>
      </c>
      <c r="J194" s="32">
        <f t="shared" si="47"/>
        <v>62.172000000000004</v>
      </c>
      <c r="K194" s="32">
        <f t="shared" si="47"/>
        <v>63.162000000000006</v>
      </c>
      <c r="L194" s="32">
        <f t="shared" si="47"/>
        <v>64.152000000000001</v>
      </c>
      <c r="M194" s="32">
        <f t="shared" si="47"/>
        <v>65.14200000000001</v>
      </c>
      <c r="N194" s="32">
        <f t="shared" si="47"/>
        <v>66.132000000000005</v>
      </c>
      <c r="O194" s="32">
        <f t="shared" si="47"/>
        <v>67.122</v>
      </c>
      <c r="P194" s="32">
        <f t="shared" si="47"/>
        <v>68.112000000000009</v>
      </c>
      <c r="Q194" s="32">
        <f t="shared" si="47"/>
        <v>69.102000000000004</v>
      </c>
      <c r="R194" s="32">
        <f t="shared" si="47"/>
        <v>70.091999999999999</v>
      </c>
      <c r="S194" s="32">
        <f t="shared" si="46"/>
        <v>71.082000000000008</v>
      </c>
      <c r="T194" s="186">
        <f t="shared" si="46"/>
        <v>72.072000000000003</v>
      </c>
      <c r="U194" s="32">
        <f t="shared" si="46"/>
        <v>73.062000000000012</v>
      </c>
      <c r="V194" s="32">
        <f t="shared" si="46"/>
        <v>74.051999999999992</v>
      </c>
      <c r="W194" s="32">
        <f t="shared" si="46"/>
        <v>75.042000000000002</v>
      </c>
      <c r="X194" s="32">
        <f t="shared" si="46"/>
        <v>76.032000000000011</v>
      </c>
      <c r="Y194" s="32">
        <f t="shared" si="46"/>
        <v>77.022000000000006</v>
      </c>
      <c r="Z194" s="32">
        <f t="shared" si="46"/>
        <v>78.012000000000015</v>
      </c>
      <c r="AA194" s="32">
        <f t="shared" si="46"/>
        <v>79.001999999999995</v>
      </c>
      <c r="AB194" s="32">
        <f t="shared" si="46"/>
        <v>79.992000000000004</v>
      </c>
      <c r="AC194" s="32">
        <f t="shared" si="46"/>
        <v>80.982000000000014</v>
      </c>
      <c r="AD194" s="32">
        <f t="shared" si="46"/>
        <v>81.972000000000008</v>
      </c>
      <c r="AE194" s="32">
        <f t="shared" si="46"/>
        <v>82.962000000000003</v>
      </c>
      <c r="AF194" s="32">
        <f t="shared" si="46"/>
        <v>83.951999999999998</v>
      </c>
      <c r="AG194" s="32">
        <f t="shared" si="46"/>
        <v>84.942000000000007</v>
      </c>
      <c r="AH194" s="32">
        <f t="shared" si="45"/>
        <v>85.932000000000016</v>
      </c>
      <c r="AI194" s="32">
        <f t="shared" si="45"/>
        <v>86.921999999999997</v>
      </c>
      <c r="AJ194" s="32">
        <f t="shared" si="45"/>
        <v>87.912000000000006</v>
      </c>
      <c r="AK194" s="32">
        <f t="shared" si="45"/>
        <v>88.902000000000001</v>
      </c>
      <c r="AL194" s="32">
        <f t="shared" si="45"/>
        <v>89.89200000000001</v>
      </c>
      <c r="AM194" s="32">
        <f t="shared" si="45"/>
        <v>90.882000000000019</v>
      </c>
      <c r="AN194" s="32">
        <f t="shared" si="45"/>
        <v>91.872</v>
      </c>
      <c r="AO194" s="32">
        <f t="shared" si="45"/>
        <v>92.862000000000009</v>
      </c>
      <c r="AP194" s="32">
        <f t="shared" si="45"/>
        <v>93.852000000000004</v>
      </c>
      <c r="AQ194" s="32">
        <f t="shared" si="45"/>
        <v>94.842000000000013</v>
      </c>
      <c r="AR194" s="32">
        <f t="shared" si="45"/>
        <v>95.832000000000008</v>
      </c>
      <c r="AS194" s="32">
        <f t="shared" si="45"/>
        <v>96.822000000000003</v>
      </c>
      <c r="AT194" s="32">
        <f t="shared" si="44"/>
        <v>97.812000000000012</v>
      </c>
      <c r="AU194" s="32">
        <f t="shared" si="44"/>
        <v>98.802000000000007</v>
      </c>
      <c r="AV194" s="32">
        <f t="shared" si="44"/>
        <v>99.792000000000002</v>
      </c>
      <c r="AW194" s="32">
        <f t="shared" si="44"/>
        <v>100.78200000000001</v>
      </c>
      <c r="AX194" s="32">
        <f t="shared" si="44"/>
        <v>101.77200000000001</v>
      </c>
      <c r="AY194" s="32">
        <f t="shared" si="44"/>
        <v>102.76200000000001</v>
      </c>
      <c r="AZ194" s="32">
        <f t="shared" si="44"/>
        <v>103.752</v>
      </c>
      <c r="BA194" s="16"/>
    </row>
    <row r="195" spans="1:53" hidden="1" x14ac:dyDescent="0.25">
      <c r="A195" s="16"/>
      <c r="B195" s="31">
        <v>59</v>
      </c>
      <c r="C195" s="32">
        <f t="shared" si="47"/>
        <v>55.341000000000008</v>
      </c>
      <c r="D195" s="32">
        <f t="shared" si="47"/>
        <v>56.331000000000003</v>
      </c>
      <c r="E195" s="32">
        <f t="shared" si="47"/>
        <v>57.321000000000005</v>
      </c>
      <c r="F195" s="32">
        <f t="shared" si="47"/>
        <v>58.311</v>
      </c>
      <c r="G195" s="32">
        <f t="shared" si="47"/>
        <v>59.301000000000002</v>
      </c>
      <c r="H195" s="32">
        <f t="shared" si="47"/>
        <v>60.291000000000004</v>
      </c>
      <c r="I195" s="32">
        <f t="shared" si="47"/>
        <v>61.281000000000006</v>
      </c>
      <c r="J195" s="32">
        <f t="shared" si="47"/>
        <v>62.271000000000008</v>
      </c>
      <c r="K195" s="32">
        <f t="shared" si="47"/>
        <v>63.261000000000003</v>
      </c>
      <c r="L195" s="32">
        <f t="shared" si="47"/>
        <v>64.251000000000005</v>
      </c>
      <c r="M195" s="32">
        <f t="shared" si="47"/>
        <v>65.241000000000014</v>
      </c>
      <c r="N195" s="32">
        <f t="shared" si="47"/>
        <v>66.231000000000009</v>
      </c>
      <c r="O195" s="32">
        <f t="shared" si="47"/>
        <v>67.221000000000018</v>
      </c>
      <c r="P195" s="32">
        <f t="shared" si="47"/>
        <v>68.211000000000013</v>
      </c>
      <c r="Q195" s="32">
        <f t="shared" si="47"/>
        <v>69.201000000000008</v>
      </c>
      <c r="R195" s="32">
        <f t="shared" si="47"/>
        <v>70.191000000000017</v>
      </c>
      <c r="S195" s="32">
        <f t="shared" si="46"/>
        <v>71.181000000000012</v>
      </c>
      <c r="T195" s="186">
        <f t="shared" si="46"/>
        <v>72.171000000000021</v>
      </c>
      <c r="U195" s="32">
        <f t="shared" si="46"/>
        <v>73.161000000000016</v>
      </c>
      <c r="V195" s="32">
        <f t="shared" si="46"/>
        <v>74.151000000000025</v>
      </c>
      <c r="W195" s="32">
        <f t="shared" si="46"/>
        <v>75.141000000000005</v>
      </c>
      <c r="X195" s="32">
        <f t="shared" si="46"/>
        <v>76.131000000000014</v>
      </c>
      <c r="Y195" s="32">
        <f t="shared" si="46"/>
        <v>77.121000000000024</v>
      </c>
      <c r="Z195" s="32">
        <f t="shared" si="46"/>
        <v>78.111000000000018</v>
      </c>
      <c r="AA195" s="32">
        <f t="shared" si="46"/>
        <v>79.101000000000013</v>
      </c>
      <c r="AB195" s="32">
        <f t="shared" si="46"/>
        <v>80.091000000000008</v>
      </c>
      <c r="AC195" s="32">
        <f t="shared" si="46"/>
        <v>81.081000000000017</v>
      </c>
      <c r="AD195" s="32">
        <f t="shared" si="46"/>
        <v>82.071000000000026</v>
      </c>
      <c r="AE195" s="32">
        <f t="shared" si="46"/>
        <v>83.061000000000007</v>
      </c>
      <c r="AF195" s="32">
        <f t="shared" si="46"/>
        <v>84.051000000000016</v>
      </c>
      <c r="AG195" s="32">
        <f t="shared" si="46"/>
        <v>85.041000000000011</v>
      </c>
      <c r="AH195" s="32">
        <f t="shared" si="45"/>
        <v>86.03100000000002</v>
      </c>
      <c r="AI195" s="32">
        <f t="shared" si="45"/>
        <v>87.021000000000015</v>
      </c>
      <c r="AJ195" s="32">
        <f t="shared" si="45"/>
        <v>88.01100000000001</v>
      </c>
      <c r="AK195" s="32">
        <f t="shared" si="45"/>
        <v>89.001000000000019</v>
      </c>
      <c r="AL195" s="32">
        <f t="shared" si="45"/>
        <v>89.991000000000014</v>
      </c>
      <c r="AM195" s="32">
        <f t="shared" si="45"/>
        <v>90.981000000000023</v>
      </c>
      <c r="AN195" s="32">
        <f t="shared" si="45"/>
        <v>91.971000000000018</v>
      </c>
      <c r="AO195" s="32">
        <f t="shared" si="45"/>
        <v>92.961000000000013</v>
      </c>
      <c r="AP195" s="32">
        <f t="shared" si="45"/>
        <v>93.951000000000022</v>
      </c>
      <c r="AQ195" s="32">
        <f t="shared" si="45"/>
        <v>94.941000000000017</v>
      </c>
      <c r="AR195" s="32">
        <f t="shared" si="45"/>
        <v>95.931000000000012</v>
      </c>
      <c r="AS195" s="32">
        <f t="shared" si="45"/>
        <v>96.921000000000021</v>
      </c>
      <c r="AT195" s="32">
        <f t="shared" si="44"/>
        <v>97.911000000000016</v>
      </c>
      <c r="AU195" s="32">
        <f t="shared" si="44"/>
        <v>98.901000000000025</v>
      </c>
      <c r="AV195" s="32">
        <f t="shared" si="44"/>
        <v>99.891000000000005</v>
      </c>
      <c r="AW195" s="32">
        <f t="shared" si="44"/>
        <v>100.88100000000001</v>
      </c>
      <c r="AX195" s="32">
        <f t="shared" si="44"/>
        <v>101.87100000000002</v>
      </c>
      <c r="AY195" s="32">
        <f t="shared" si="44"/>
        <v>102.86100000000002</v>
      </c>
      <c r="AZ195" s="32">
        <f t="shared" si="44"/>
        <v>103.85100000000001</v>
      </c>
      <c r="BA195" s="16"/>
    </row>
    <row r="196" spans="1:53" hidden="1" x14ac:dyDescent="0.25">
      <c r="A196" s="16"/>
      <c r="B196" s="31">
        <v>60</v>
      </c>
      <c r="C196" s="32">
        <f t="shared" si="47"/>
        <v>55.440000000000005</v>
      </c>
      <c r="D196" s="32">
        <f t="shared" si="47"/>
        <v>56.430000000000007</v>
      </c>
      <c r="E196" s="32">
        <f t="shared" si="47"/>
        <v>57.420000000000009</v>
      </c>
      <c r="F196" s="32">
        <f t="shared" si="47"/>
        <v>58.410000000000004</v>
      </c>
      <c r="G196" s="32">
        <f t="shared" si="47"/>
        <v>59.400000000000006</v>
      </c>
      <c r="H196" s="32">
        <f t="shared" si="47"/>
        <v>60.39</v>
      </c>
      <c r="I196" s="32">
        <f t="shared" si="47"/>
        <v>61.38000000000001</v>
      </c>
      <c r="J196" s="32">
        <f t="shared" si="47"/>
        <v>62.370000000000012</v>
      </c>
      <c r="K196" s="32">
        <f t="shared" si="47"/>
        <v>63.360000000000007</v>
      </c>
      <c r="L196" s="32">
        <f t="shared" si="47"/>
        <v>64.350000000000009</v>
      </c>
      <c r="M196" s="32">
        <f t="shared" si="47"/>
        <v>65.34</v>
      </c>
      <c r="N196" s="32">
        <f t="shared" si="47"/>
        <v>66.330000000000013</v>
      </c>
      <c r="O196" s="32">
        <f t="shared" si="47"/>
        <v>67.320000000000007</v>
      </c>
      <c r="P196" s="32">
        <f t="shared" si="47"/>
        <v>68.31</v>
      </c>
      <c r="Q196" s="32">
        <f t="shared" si="47"/>
        <v>69.300000000000011</v>
      </c>
      <c r="R196" s="32">
        <f t="shared" si="47"/>
        <v>70.290000000000006</v>
      </c>
      <c r="S196" s="32">
        <f t="shared" si="46"/>
        <v>71.28</v>
      </c>
      <c r="T196" s="186">
        <f t="shared" si="46"/>
        <v>72.27000000000001</v>
      </c>
      <c r="U196" s="32">
        <f t="shared" si="46"/>
        <v>73.260000000000019</v>
      </c>
      <c r="V196" s="32">
        <f t="shared" si="46"/>
        <v>74.25</v>
      </c>
      <c r="W196" s="32">
        <f t="shared" si="46"/>
        <v>75.240000000000009</v>
      </c>
      <c r="X196" s="32">
        <f t="shared" si="46"/>
        <v>76.23</v>
      </c>
      <c r="Y196" s="32">
        <f t="shared" si="46"/>
        <v>77.220000000000013</v>
      </c>
      <c r="Z196" s="32">
        <f t="shared" si="46"/>
        <v>78.210000000000022</v>
      </c>
      <c r="AA196" s="32">
        <f t="shared" si="46"/>
        <v>79.2</v>
      </c>
      <c r="AB196" s="32">
        <f t="shared" si="46"/>
        <v>80.190000000000012</v>
      </c>
      <c r="AC196" s="32">
        <f t="shared" si="46"/>
        <v>81.180000000000007</v>
      </c>
      <c r="AD196" s="32">
        <f t="shared" si="46"/>
        <v>82.170000000000016</v>
      </c>
      <c r="AE196" s="32">
        <f t="shared" si="46"/>
        <v>83.160000000000011</v>
      </c>
      <c r="AF196" s="32">
        <f t="shared" si="46"/>
        <v>84.15</v>
      </c>
      <c r="AG196" s="32">
        <f t="shared" si="46"/>
        <v>85.140000000000015</v>
      </c>
      <c r="AH196" s="32">
        <f t="shared" si="45"/>
        <v>86.13000000000001</v>
      </c>
      <c r="AI196" s="32">
        <f t="shared" si="45"/>
        <v>87.12</v>
      </c>
      <c r="AJ196" s="32">
        <f t="shared" si="45"/>
        <v>88.110000000000014</v>
      </c>
      <c r="AK196" s="32">
        <f t="shared" si="45"/>
        <v>89.100000000000009</v>
      </c>
      <c r="AL196" s="32">
        <f t="shared" si="45"/>
        <v>90.090000000000018</v>
      </c>
      <c r="AM196" s="32">
        <f t="shared" si="45"/>
        <v>91.08</v>
      </c>
      <c r="AN196" s="32">
        <f t="shared" si="45"/>
        <v>92.070000000000007</v>
      </c>
      <c r="AO196" s="32">
        <f t="shared" si="45"/>
        <v>93.060000000000016</v>
      </c>
      <c r="AP196" s="32">
        <f t="shared" si="45"/>
        <v>94.050000000000011</v>
      </c>
      <c r="AQ196" s="32">
        <f t="shared" si="45"/>
        <v>95.04000000000002</v>
      </c>
      <c r="AR196" s="32">
        <f t="shared" si="45"/>
        <v>96.03</v>
      </c>
      <c r="AS196" s="32">
        <f t="shared" si="45"/>
        <v>97.02000000000001</v>
      </c>
      <c r="AT196" s="32">
        <f t="shared" ref="AT196:AZ197" si="48">(AT$16-100+$B196/10)*0.9*1.1</f>
        <v>98.010000000000019</v>
      </c>
      <c r="AU196" s="32">
        <f t="shared" si="48"/>
        <v>99.000000000000014</v>
      </c>
      <c r="AV196" s="32">
        <f t="shared" si="48"/>
        <v>99.990000000000009</v>
      </c>
      <c r="AW196" s="32">
        <f t="shared" si="48"/>
        <v>100.98</v>
      </c>
      <c r="AX196" s="32">
        <f t="shared" si="48"/>
        <v>101.97000000000001</v>
      </c>
      <c r="AY196" s="32">
        <f t="shared" si="48"/>
        <v>102.96000000000002</v>
      </c>
      <c r="AZ196" s="32">
        <f t="shared" si="48"/>
        <v>103.95</v>
      </c>
      <c r="BA196" s="16"/>
    </row>
    <row r="197" spans="1:53" hidden="1" x14ac:dyDescent="0.25">
      <c r="A197" s="16"/>
      <c r="B197" s="31">
        <v>61</v>
      </c>
      <c r="C197" s="32">
        <f t="shared" si="47"/>
        <v>55.539000000000009</v>
      </c>
      <c r="D197" s="32">
        <f t="shared" si="47"/>
        <v>56.529000000000003</v>
      </c>
      <c r="E197" s="32">
        <f t="shared" si="47"/>
        <v>57.519000000000005</v>
      </c>
      <c r="F197" s="32">
        <f t="shared" si="47"/>
        <v>58.509000000000007</v>
      </c>
      <c r="G197" s="32">
        <f t="shared" si="47"/>
        <v>59.499000000000009</v>
      </c>
      <c r="H197" s="32">
        <f t="shared" si="47"/>
        <v>60.489000000000004</v>
      </c>
      <c r="I197" s="32">
        <f t="shared" si="47"/>
        <v>61.479000000000006</v>
      </c>
      <c r="J197" s="32">
        <f t="shared" si="47"/>
        <v>62.469000000000001</v>
      </c>
      <c r="K197" s="32">
        <f t="shared" si="47"/>
        <v>63.459000000000003</v>
      </c>
      <c r="L197" s="32">
        <f t="shared" si="47"/>
        <v>64.448999999999998</v>
      </c>
      <c r="M197" s="32">
        <f t="shared" si="47"/>
        <v>65.438999999999993</v>
      </c>
      <c r="N197" s="32">
        <f t="shared" si="47"/>
        <v>66.429000000000002</v>
      </c>
      <c r="O197" s="32">
        <f t="shared" si="47"/>
        <v>67.419000000000011</v>
      </c>
      <c r="P197" s="32">
        <f t="shared" si="47"/>
        <v>68.409000000000006</v>
      </c>
      <c r="Q197" s="32">
        <f t="shared" si="47"/>
        <v>69.399000000000001</v>
      </c>
      <c r="R197" s="32">
        <f t="shared" si="47"/>
        <v>70.388999999999996</v>
      </c>
      <c r="S197" s="32">
        <f t="shared" si="46"/>
        <v>71.379000000000005</v>
      </c>
      <c r="T197" s="186">
        <f t="shared" si="46"/>
        <v>72.369</v>
      </c>
      <c r="U197" s="32">
        <f t="shared" si="46"/>
        <v>73.359000000000009</v>
      </c>
      <c r="V197" s="32">
        <f t="shared" si="46"/>
        <v>74.349000000000004</v>
      </c>
      <c r="W197" s="32">
        <f t="shared" si="46"/>
        <v>75.338999999999999</v>
      </c>
      <c r="X197" s="32">
        <f t="shared" si="46"/>
        <v>76.329000000000008</v>
      </c>
      <c r="Y197" s="32">
        <f t="shared" si="46"/>
        <v>77.319000000000003</v>
      </c>
      <c r="Z197" s="32">
        <f t="shared" si="46"/>
        <v>78.308999999999997</v>
      </c>
      <c r="AA197" s="32">
        <f t="shared" si="46"/>
        <v>79.299000000000007</v>
      </c>
      <c r="AB197" s="32">
        <f t="shared" si="46"/>
        <v>80.289000000000001</v>
      </c>
      <c r="AC197" s="32">
        <f t="shared" si="46"/>
        <v>81.279000000000011</v>
      </c>
      <c r="AD197" s="32">
        <f t="shared" si="46"/>
        <v>82.268999999999991</v>
      </c>
      <c r="AE197" s="32">
        <f t="shared" si="46"/>
        <v>83.259</v>
      </c>
      <c r="AF197" s="32">
        <f t="shared" si="46"/>
        <v>84.249000000000009</v>
      </c>
      <c r="AG197" s="32">
        <f t="shared" si="46"/>
        <v>85.239000000000004</v>
      </c>
      <c r="AH197" s="32">
        <f t="shared" si="45"/>
        <v>86.229000000000013</v>
      </c>
      <c r="AI197" s="32">
        <f t="shared" si="45"/>
        <v>87.218999999999994</v>
      </c>
      <c r="AJ197" s="32">
        <f t="shared" si="45"/>
        <v>88.209000000000003</v>
      </c>
      <c r="AK197" s="32">
        <f t="shared" si="45"/>
        <v>89.199000000000012</v>
      </c>
      <c r="AL197" s="32">
        <f t="shared" si="45"/>
        <v>90.189000000000007</v>
      </c>
      <c r="AM197" s="32">
        <f t="shared" si="45"/>
        <v>91.179000000000002</v>
      </c>
      <c r="AN197" s="32">
        <f t="shared" si="45"/>
        <v>92.168999999999997</v>
      </c>
      <c r="AO197" s="32">
        <f t="shared" si="45"/>
        <v>93.159000000000006</v>
      </c>
      <c r="AP197" s="32">
        <f t="shared" si="45"/>
        <v>94.149000000000015</v>
      </c>
      <c r="AQ197" s="32">
        <f t="shared" si="45"/>
        <v>95.138999999999996</v>
      </c>
      <c r="AR197" s="32">
        <f t="shared" si="45"/>
        <v>96.129000000000005</v>
      </c>
      <c r="AS197" s="32">
        <f t="shared" si="45"/>
        <v>97.119</v>
      </c>
      <c r="AT197" s="32">
        <f t="shared" si="48"/>
        <v>98.109000000000009</v>
      </c>
      <c r="AU197" s="32">
        <f t="shared" si="48"/>
        <v>99.099000000000018</v>
      </c>
      <c r="AV197" s="32">
        <f t="shared" si="48"/>
        <v>100.089</v>
      </c>
      <c r="AW197" s="32">
        <f t="shared" si="48"/>
        <v>101.07900000000001</v>
      </c>
      <c r="AX197" s="32">
        <f t="shared" si="48"/>
        <v>102.069</v>
      </c>
      <c r="AY197" s="32">
        <f t="shared" si="48"/>
        <v>103.05900000000001</v>
      </c>
      <c r="AZ197" s="32">
        <f t="shared" si="48"/>
        <v>104.04900000000001</v>
      </c>
      <c r="BA197" s="16"/>
    </row>
    <row r="198" spans="1:53" hidden="1" x14ac:dyDescent="0.25">
      <c r="A198" s="16"/>
      <c r="B198" s="31">
        <v>62</v>
      </c>
      <c r="C198" s="32">
        <f t="shared" si="47"/>
        <v>55.638000000000012</v>
      </c>
      <c r="D198" s="32">
        <f t="shared" si="47"/>
        <v>56.628000000000007</v>
      </c>
      <c r="E198" s="32">
        <f t="shared" si="47"/>
        <v>57.618000000000009</v>
      </c>
      <c r="F198" s="32">
        <f t="shared" si="47"/>
        <v>58.608000000000004</v>
      </c>
      <c r="G198" s="32">
        <f t="shared" si="47"/>
        <v>59.598000000000013</v>
      </c>
      <c r="H198" s="32">
        <f t="shared" si="47"/>
        <v>60.588000000000008</v>
      </c>
      <c r="I198" s="32">
        <f t="shared" si="47"/>
        <v>61.57800000000001</v>
      </c>
      <c r="J198" s="32">
        <f t="shared" si="47"/>
        <v>62.568000000000005</v>
      </c>
      <c r="K198" s="32">
        <f t="shared" si="47"/>
        <v>63.558000000000007</v>
      </c>
      <c r="L198" s="32">
        <f t="shared" si="47"/>
        <v>64.548000000000016</v>
      </c>
      <c r="M198" s="32">
        <f t="shared" si="47"/>
        <v>65.538000000000011</v>
      </c>
      <c r="N198" s="32">
        <f t="shared" si="47"/>
        <v>66.528000000000006</v>
      </c>
      <c r="O198" s="32">
        <f t="shared" si="47"/>
        <v>67.518000000000015</v>
      </c>
      <c r="P198" s="32">
        <f t="shared" si="47"/>
        <v>68.50800000000001</v>
      </c>
      <c r="Q198" s="32">
        <f t="shared" si="47"/>
        <v>69.498000000000019</v>
      </c>
      <c r="R198" s="32">
        <f t="shared" si="47"/>
        <v>70.488</v>
      </c>
      <c r="S198" s="32">
        <f t="shared" si="46"/>
        <v>71.478000000000009</v>
      </c>
      <c r="T198" s="186">
        <f t="shared" si="46"/>
        <v>72.468000000000018</v>
      </c>
      <c r="U198" s="32">
        <f t="shared" si="46"/>
        <v>73.458000000000013</v>
      </c>
      <c r="V198" s="32">
        <f t="shared" si="46"/>
        <v>74.448000000000008</v>
      </c>
      <c r="W198" s="32">
        <f t="shared" si="46"/>
        <v>75.438000000000002</v>
      </c>
      <c r="X198" s="32">
        <f t="shared" si="46"/>
        <v>76.428000000000011</v>
      </c>
      <c r="Y198" s="32">
        <f t="shared" si="46"/>
        <v>77.418000000000021</v>
      </c>
      <c r="Z198" s="32">
        <f t="shared" si="46"/>
        <v>78.408000000000001</v>
      </c>
      <c r="AA198" s="32">
        <f t="shared" si="46"/>
        <v>79.39800000000001</v>
      </c>
      <c r="AB198" s="32">
        <f t="shared" si="46"/>
        <v>80.388000000000005</v>
      </c>
      <c r="AC198" s="32">
        <f t="shared" si="46"/>
        <v>81.378000000000014</v>
      </c>
      <c r="AD198" s="32">
        <f t="shared" si="46"/>
        <v>82.368000000000023</v>
      </c>
      <c r="AE198" s="32">
        <f t="shared" si="46"/>
        <v>83.358000000000004</v>
      </c>
      <c r="AF198" s="32">
        <f t="shared" si="46"/>
        <v>84.348000000000013</v>
      </c>
      <c r="AG198" s="32">
        <f t="shared" si="46"/>
        <v>85.338000000000008</v>
      </c>
      <c r="AH198" s="32">
        <f t="shared" si="45"/>
        <v>86.328000000000017</v>
      </c>
      <c r="AI198" s="32">
        <f t="shared" si="45"/>
        <v>87.318000000000012</v>
      </c>
      <c r="AJ198" s="32">
        <f t="shared" si="45"/>
        <v>88.308000000000007</v>
      </c>
      <c r="AK198" s="32">
        <f t="shared" ref="AK198:AZ216" si="49">(AK$16-100+$B198/10)*0.9*1.1</f>
        <v>89.298000000000016</v>
      </c>
      <c r="AL198" s="32">
        <f t="shared" si="49"/>
        <v>90.288000000000011</v>
      </c>
      <c r="AM198" s="32">
        <f t="shared" si="49"/>
        <v>91.278000000000006</v>
      </c>
      <c r="AN198" s="32">
        <f t="shared" si="49"/>
        <v>92.268000000000015</v>
      </c>
      <c r="AO198" s="32">
        <f t="shared" si="49"/>
        <v>93.25800000000001</v>
      </c>
      <c r="AP198" s="32">
        <f t="shared" si="49"/>
        <v>94.248000000000019</v>
      </c>
      <c r="AQ198" s="32">
        <f t="shared" si="49"/>
        <v>95.238</v>
      </c>
      <c r="AR198" s="32">
        <f t="shared" si="49"/>
        <v>96.228000000000009</v>
      </c>
      <c r="AS198" s="32">
        <f t="shared" si="49"/>
        <v>97.218000000000018</v>
      </c>
      <c r="AT198" s="32">
        <f t="shared" si="49"/>
        <v>98.208000000000013</v>
      </c>
      <c r="AU198" s="32">
        <f t="shared" si="49"/>
        <v>99.198000000000022</v>
      </c>
      <c r="AV198" s="32">
        <f t="shared" si="49"/>
        <v>100.188</v>
      </c>
      <c r="AW198" s="32">
        <f t="shared" si="49"/>
        <v>101.17800000000001</v>
      </c>
      <c r="AX198" s="32">
        <f t="shared" si="49"/>
        <v>102.16800000000002</v>
      </c>
      <c r="AY198" s="32">
        <f t="shared" si="49"/>
        <v>103.15800000000002</v>
      </c>
      <c r="AZ198" s="32">
        <f t="shared" si="49"/>
        <v>104.14800000000001</v>
      </c>
      <c r="BA198" s="16"/>
    </row>
    <row r="199" spans="1:53" hidden="1" x14ac:dyDescent="0.25">
      <c r="A199" s="16"/>
      <c r="B199" s="31">
        <v>63</v>
      </c>
      <c r="C199" s="32">
        <f t="shared" si="47"/>
        <v>55.737000000000009</v>
      </c>
      <c r="D199" s="32">
        <f t="shared" si="47"/>
        <v>56.727000000000004</v>
      </c>
      <c r="E199" s="32">
        <f t="shared" si="47"/>
        <v>57.717000000000006</v>
      </c>
      <c r="F199" s="32">
        <f t="shared" si="47"/>
        <v>58.707000000000001</v>
      </c>
      <c r="G199" s="32">
        <f t="shared" si="47"/>
        <v>59.697000000000003</v>
      </c>
      <c r="H199" s="32">
        <f t="shared" si="47"/>
        <v>60.687000000000005</v>
      </c>
      <c r="I199" s="32">
        <f t="shared" si="47"/>
        <v>61.677000000000007</v>
      </c>
      <c r="J199" s="32">
        <f t="shared" si="47"/>
        <v>62.667000000000002</v>
      </c>
      <c r="K199" s="32">
        <f t="shared" si="47"/>
        <v>63.657000000000004</v>
      </c>
      <c r="L199" s="32">
        <f t="shared" si="47"/>
        <v>64.647000000000006</v>
      </c>
      <c r="M199" s="32">
        <f t="shared" si="47"/>
        <v>65.637</v>
      </c>
      <c r="N199" s="32">
        <f t="shared" si="47"/>
        <v>66.62700000000001</v>
      </c>
      <c r="O199" s="32">
        <f t="shared" si="47"/>
        <v>67.617000000000004</v>
      </c>
      <c r="P199" s="32">
        <f t="shared" si="47"/>
        <v>68.606999999999999</v>
      </c>
      <c r="Q199" s="32">
        <f t="shared" si="47"/>
        <v>69.596999999999994</v>
      </c>
      <c r="R199" s="32">
        <f t="shared" si="47"/>
        <v>70.587000000000003</v>
      </c>
      <c r="S199" s="32">
        <f t="shared" si="46"/>
        <v>71.576999999999998</v>
      </c>
      <c r="T199" s="186">
        <f t="shared" si="46"/>
        <v>72.567000000000007</v>
      </c>
      <c r="U199" s="32">
        <f t="shared" si="46"/>
        <v>73.557000000000016</v>
      </c>
      <c r="V199" s="32">
        <f t="shared" si="46"/>
        <v>74.546999999999997</v>
      </c>
      <c r="W199" s="32">
        <f t="shared" si="46"/>
        <v>75.537000000000006</v>
      </c>
      <c r="X199" s="32">
        <f t="shared" si="46"/>
        <v>76.527000000000001</v>
      </c>
      <c r="Y199" s="32">
        <f t="shared" si="46"/>
        <v>77.51700000000001</v>
      </c>
      <c r="Z199" s="32">
        <f t="shared" si="46"/>
        <v>78.507000000000005</v>
      </c>
      <c r="AA199" s="32">
        <f t="shared" si="46"/>
        <v>79.497</v>
      </c>
      <c r="AB199" s="32">
        <f t="shared" si="46"/>
        <v>80.487000000000009</v>
      </c>
      <c r="AC199" s="32">
        <f t="shared" si="46"/>
        <v>81.477000000000004</v>
      </c>
      <c r="AD199" s="32">
        <f t="shared" si="46"/>
        <v>82.466999999999999</v>
      </c>
      <c r="AE199" s="32">
        <f t="shared" si="46"/>
        <v>83.457000000000008</v>
      </c>
      <c r="AF199" s="32">
        <f t="shared" si="46"/>
        <v>84.447000000000003</v>
      </c>
      <c r="AG199" s="32">
        <f t="shared" si="46"/>
        <v>85.437000000000012</v>
      </c>
      <c r="AH199" s="32">
        <f t="shared" ref="AH199:AS216" si="50">(AH$16-100+$B199/10)*0.9*1.1</f>
        <v>86.426999999999992</v>
      </c>
      <c r="AI199" s="32">
        <f t="shared" si="50"/>
        <v>87.417000000000002</v>
      </c>
      <c r="AJ199" s="32">
        <f t="shared" si="50"/>
        <v>88.407000000000011</v>
      </c>
      <c r="AK199" s="32">
        <f t="shared" si="50"/>
        <v>89.397000000000006</v>
      </c>
      <c r="AL199" s="32">
        <f t="shared" si="50"/>
        <v>90.387000000000015</v>
      </c>
      <c r="AM199" s="32">
        <f t="shared" si="49"/>
        <v>91.376999999999995</v>
      </c>
      <c r="AN199" s="32">
        <f t="shared" si="49"/>
        <v>92.367000000000004</v>
      </c>
      <c r="AO199" s="32">
        <f t="shared" si="49"/>
        <v>93.357000000000014</v>
      </c>
      <c r="AP199" s="32">
        <f t="shared" si="49"/>
        <v>94.347000000000008</v>
      </c>
      <c r="AQ199" s="32">
        <f t="shared" si="49"/>
        <v>95.337000000000003</v>
      </c>
      <c r="AR199" s="32">
        <f t="shared" si="49"/>
        <v>96.326999999999998</v>
      </c>
      <c r="AS199" s="32">
        <f t="shared" si="49"/>
        <v>97.317000000000007</v>
      </c>
      <c r="AT199" s="32">
        <f t="shared" si="49"/>
        <v>98.307000000000016</v>
      </c>
      <c r="AU199" s="32">
        <f t="shared" si="49"/>
        <v>99.296999999999997</v>
      </c>
      <c r="AV199" s="32">
        <f t="shared" si="49"/>
        <v>100.28700000000001</v>
      </c>
      <c r="AW199" s="32">
        <f t="shared" si="49"/>
        <v>101.277</v>
      </c>
      <c r="AX199" s="32">
        <f t="shared" si="49"/>
        <v>102.26700000000001</v>
      </c>
      <c r="AY199" s="32">
        <f t="shared" si="49"/>
        <v>103.25700000000002</v>
      </c>
      <c r="AZ199" s="32">
        <f t="shared" si="49"/>
        <v>104.247</v>
      </c>
      <c r="BA199" s="16"/>
    </row>
    <row r="200" spans="1:53" hidden="1" x14ac:dyDescent="0.25">
      <c r="A200" s="16"/>
      <c r="B200" s="31">
        <v>64</v>
      </c>
      <c r="C200" s="32">
        <f t="shared" si="47"/>
        <v>55.836000000000006</v>
      </c>
      <c r="D200" s="32">
        <f t="shared" si="47"/>
        <v>56.826000000000001</v>
      </c>
      <c r="E200" s="32">
        <f t="shared" si="47"/>
        <v>57.81600000000001</v>
      </c>
      <c r="F200" s="32">
        <f t="shared" si="47"/>
        <v>58.806000000000004</v>
      </c>
      <c r="G200" s="32">
        <f t="shared" si="47"/>
        <v>59.796000000000006</v>
      </c>
      <c r="H200" s="32">
        <f t="shared" si="47"/>
        <v>60.786000000000001</v>
      </c>
      <c r="I200" s="32">
        <f t="shared" si="47"/>
        <v>61.776000000000003</v>
      </c>
      <c r="J200" s="32">
        <f t="shared" si="47"/>
        <v>62.766000000000005</v>
      </c>
      <c r="K200" s="32">
        <f t="shared" si="47"/>
        <v>63.756000000000014</v>
      </c>
      <c r="L200" s="32">
        <f t="shared" si="47"/>
        <v>64.746000000000009</v>
      </c>
      <c r="M200" s="32">
        <f t="shared" si="47"/>
        <v>65.736000000000004</v>
      </c>
      <c r="N200" s="32">
        <f t="shared" si="47"/>
        <v>66.726000000000013</v>
      </c>
      <c r="O200" s="32">
        <f t="shared" si="47"/>
        <v>67.716000000000022</v>
      </c>
      <c r="P200" s="32">
        <f t="shared" si="47"/>
        <v>68.706000000000017</v>
      </c>
      <c r="Q200" s="32">
        <f t="shared" si="47"/>
        <v>69.696000000000012</v>
      </c>
      <c r="R200" s="32">
        <f t="shared" si="47"/>
        <v>70.686000000000007</v>
      </c>
      <c r="S200" s="32">
        <f t="shared" si="46"/>
        <v>71.676000000000016</v>
      </c>
      <c r="T200" s="186">
        <f t="shared" si="46"/>
        <v>72.666000000000011</v>
      </c>
      <c r="U200" s="32">
        <f t="shared" si="46"/>
        <v>73.65600000000002</v>
      </c>
      <c r="V200" s="32">
        <f t="shared" si="46"/>
        <v>74.646000000000015</v>
      </c>
      <c r="W200" s="32">
        <f t="shared" si="46"/>
        <v>75.63600000000001</v>
      </c>
      <c r="X200" s="32">
        <f t="shared" si="46"/>
        <v>76.626000000000019</v>
      </c>
      <c r="Y200" s="32">
        <f t="shared" si="46"/>
        <v>77.616000000000014</v>
      </c>
      <c r="Z200" s="32">
        <f t="shared" si="46"/>
        <v>78.606000000000009</v>
      </c>
      <c r="AA200" s="32">
        <f t="shared" si="46"/>
        <v>79.596000000000018</v>
      </c>
      <c r="AB200" s="32">
        <f t="shared" si="46"/>
        <v>80.586000000000013</v>
      </c>
      <c r="AC200" s="32">
        <f t="shared" si="46"/>
        <v>81.576000000000022</v>
      </c>
      <c r="AD200" s="32">
        <f t="shared" si="46"/>
        <v>82.566000000000003</v>
      </c>
      <c r="AE200" s="32">
        <f t="shared" si="46"/>
        <v>83.556000000000012</v>
      </c>
      <c r="AF200" s="32">
        <f t="shared" si="46"/>
        <v>84.546000000000021</v>
      </c>
      <c r="AG200" s="32">
        <f t="shared" si="46"/>
        <v>85.536000000000016</v>
      </c>
      <c r="AH200" s="32">
        <f t="shared" si="50"/>
        <v>86.526000000000025</v>
      </c>
      <c r="AI200" s="32">
        <f t="shared" si="50"/>
        <v>87.516000000000005</v>
      </c>
      <c r="AJ200" s="32">
        <f t="shared" si="50"/>
        <v>88.506000000000014</v>
      </c>
      <c r="AK200" s="32">
        <f t="shared" si="50"/>
        <v>89.496000000000024</v>
      </c>
      <c r="AL200" s="32">
        <f t="shared" si="50"/>
        <v>90.486000000000018</v>
      </c>
      <c r="AM200" s="32">
        <f t="shared" si="49"/>
        <v>91.476000000000013</v>
      </c>
      <c r="AN200" s="32">
        <f t="shared" si="49"/>
        <v>92.466000000000008</v>
      </c>
      <c r="AO200" s="32">
        <f t="shared" si="49"/>
        <v>93.456000000000017</v>
      </c>
      <c r="AP200" s="32">
        <f t="shared" si="49"/>
        <v>94.446000000000026</v>
      </c>
      <c r="AQ200" s="32">
        <f t="shared" si="49"/>
        <v>95.436000000000007</v>
      </c>
      <c r="AR200" s="32">
        <f t="shared" si="49"/>
        <v>96.426000000000016</v>
      </c>
      <c r="AS200" s="32">
        <f t="shared" si="49"/>
        <v>97.416000000000011</v>
      </c>
      <c r="AT200" s="32">
        <f t="shared" si="49"/>
        <v>98.40600000000002</v>
      </c>
      <c r="AU200" s="32">
        <f t="shared" si="49"/>
        <v>99.396000000000029</v>
      </c>
      <c r="AV200" s="32">
        <f t="shared" si="49"/>
        <v>100.38600000000001</v>
      </c>
      <c r="AW200" s="32">
        <f t="shared" si="49"/>
        <v>101.37600000000002</v>
      </c>
      <c r="AX200" s="32">
        <f t="shared" si="49"/>
        <v>102.36600000000001</v>
      </c>
      <c r="AY200" s="32">
        <f t="shared" si="49"/>
        <v>103.35600000000002</v>
      </c>
      <c r="AZ200" s="32">
        <f t="shared" si="49"/>
        <v>104.34600000000002</v>
      </c>
      <c r="BA200" s="16"/>
    </row>
    <row r="201" spans="1:53" hidden="1" x14ac:dyDescent="0.25">
      <c r="A201" s="16"/>
      <c r="B201" s="31">
        <v>65</v>
      </c>
      <c r="C201" s="32">
        <f t="shared" si="47"/>
        <v>55.935000000000009</v>
      </c>
      <c r="D201" s="32">
        <f t="shared" si="47"/>
        <v>56.925000000000004</v>
      </c>
      <c r="E201" s="32">
        <f t="shared" si="47"/>
        <v>57.915000000000006</v>
      </c>
      <c r="F201" s="32">
        <f t="shared" si="47"/>
        <v>58.905000000000008</v>
      </c>
      <c r="G201" s="32">
        <f t="shared" si="47"/>
        <v>59.89500000000001</v>
      </c>
      <c r="H201" s="32">
        <f t="shared" si="47"/>
        <v>60.885000000000005</v>
      </c>
      <c r="I201" s="32">
        <f t="shared" si="47"/>
        <v>61.875000000000007</v>
      </c>
      <c r="J201" s="32">
        <f t="shared" si="47"/>
        <v>62.865000000000002</v>
      </c>
      <c r="K201" s="32">
        <f t="shared" si="47"/>
        <v>63.855000000000011</v>
      </c>
      <c r="L201" s="32">
        <f t="shared" si="47"/>
        <v>64.845000000000013</v>
      </c>
      <c r="M201" s="32">
        <f t="shared" si="47"/>
        <v>65.835000000000008</v>
      </c>
      <c r="N201" s="32">
        <f t="shared" si="47"/>
        <v>66.825000000000003</v>
      </c>
      <c r="O201" s="32">
        <f t="shared" si="47"/>
        <v>67.814999999999998</v>
      </c>
      <c r="P201" s="32">
        <f t="shared" si="47"/>
        <v>68.805000000000007</v>
      </c>
      <c r="Q201" s="32">
        <f t="shared" si="47"/>
        <v>69.795000000000002</v>
      </c>
      <c r="R201" s="32">
        <f t="shared" si="47"/>
        <v>70.785000000000011</v>
      </c>
      <c r="S201" s="32">
        <f t="shared" si="46"/>
        <v>71.775000000000006</v>
      </c>
      <c r="T201" s="186">
        <f t="shared" si="46"/>
        <v>72.765000000000015</v>
      </c>
      <c r="U201" s="32">
        <f t="shared" si="46"/>
        <v>73.75500000000001</v>
      </c>
      <c r="V201" s="32">
        <f t="shared" si="46"/>
        <v>74.745000000000005</v>
      </c>
      <c r="W201" s="32">
        <f t="shared" si="46"/>
        <v>75.735000000000014</v>
      </c>
      <c r="X201" s="32">
        <f t="shared" si="46"/>
        <v>76.725000000000009</v>
      </c>
      <c r="Y201" s="32">
        <f t="shared" si="46"/>
        <v>77.715000000000018</v>
      </c>
      <c r="Z201" s="32">
        <f t="shared" si="46"/>
        <v>78.704999999999998</v>
      </c>
      <c r="AA201" s="32">
        <f t="shared" si="46"/>
        <v>79.695000000000007</v>
      </c>
      <c r="AB201" s="32">
        <f t="shared" si="46"/>
        <v>80.685000000000016</v>
      </c>
      <c r="AC201" s="32">
        <f t="shared" si="46"/>
        <v>81.675000000000011</v>
      </c>
      <c r="AD201" s="32">
        <f t="shared" si="46"/>
        <v>82.665000000000006</v>
      </c>
      <c r="AE201" s="32">
        <f t="shared" si="46"/>
        <v>83.655000000000001</v>
      </c>
      <c r="AF201" s="32">
        <f t="shared" si="46"/>
        <v>84.64500000000001</v>
      </c>
      <c r="AG201" s="32">
        <f t="shared" si="46"/>
        <v>85.635000000000019</v>
      </c>
      <c r="AH201" s="32">
        <f t="shared" si="50"/>
        <v>86.625</v>
      </c>
      <c r="AI201" s="32">
        <f t="shared" si="50"/>
        <v>87.615000000000009</v>
      </c>
      <c r="AJ201" s="32">
        <f t="shared" si="50"/>
        <v>88.605000000000004</v>
      </c>
      <c r="AK201" s="32">
        <f t="shared" si="50"/>
        <v>89.595000000000013</v>
      </c>
      <c r="AL201" s="32">
        <f t="shared" si="50"/>
        <v>90.585000000000022</v>
      </c>
      <c r="AM201" s="32">
        <f t="shared" si="49"/>
        <v>91.575000000000003</v>
      </c>
      <c r="AN201" s="32">
        <f t="shared" si="49"/>
        <v>92.565000000000012</v>
      </c>
      <c r="AO201" s="32">
        <f t="shared" si="49"/>
        <v>93.555000000000007</v>
      </c>
      <c r="AP201" s="32">
        <f t="shared" si="49"/>
        <v>94.545000000000016</v>
      </c>
      <c r="AQ201" s="32">
        <f t="shared" si="49"/>
        <v>95.535000000000011</v>
      </c>
      <c r="AR201" s="32">
        <f t="shared" si="49"/>
        <v>96.525000000000006</v>
      </c>
      <c r="AS201" s="32">
        <f t="shared" si="49"/>
        <v>97.515000000000015</v>
      </c>
      <c r="AT201" s="32">
        <f t="shared" si="49"/>
        <v>98.50500000000001</v>
      </c>
      <c r="AU201" s="32">
        <f t="shared" si="49"/>
        <v>99.495000000000005</v>
      </c>
      <c r="AV201" s="32">
        <f t="shared" si="49"/>
        <v>100.48500000000001</v>
      </c>
      <c r="AW201" s="32">
        <f t="shared" si="49"/>
        <v>101.47500000000001</v>
      </c>
      <c r="AX201" s="32">
        <f t="shared" si="49"/>
        <v>102.46500000000002</v>
      </c>
      <c r="AY201" s="32">
        <f t="shared" si="49"/>
        <v>103.455</v>
      </c>
      <c r="AZ201" s="32">
        <f t="shared" si="49"/>
        <v>104.44500000000001</v>
      </c>
      <c r="BA201" s="16"/>
    </row>
    <row r="202" spans="1:53" hidden="1" x14ac:dyDescent="0.25">
      <c r="A202" s="16"/>
      <c r="B202" s="31">
        <v>66</v>
      </c>
      <c r="C202" s="32">
        <f t="shared" si="47"/>
        <v>56.034000000000013</v>
      </c>
      <c r="D202" s="32">
        <f t="shared" si="47"/>
        <v>57.024000000000008</v>
      </c>
      <c r="E202" s="32">
        <f t="shared" si="47"/>
        <v>58.01400000000001</v>
      </c>
      <c r="F202" s="32">
        <f t="shared" si="47"/>
        <v>59.004000000000005</v>
      </c>
      <c r="G202" s="32">
        <f t="shared" si="47"/>
        <v>59.994000000000007</v>
      </c>
      <c r="H202" s="32">
        <f t="shared" si="47"/>
        <v>60.984000000000009</v>
      </c>
      <c r="I202" s="32">
        <f t="shared" si="47"/>
        <v>61.974000000000011</v>
      </c>
      <c r="J202" s="32">
        <f t="shared" si="47"/>
        <v>62.964000000000006</v>
      </c>
      <c r="K202" s="32">
        <f t="shared" si="47"/>
        <v>63.954000000000001</v>
      </c>
      <c r="L202" s="32">
        <f t="shared" si="47"/>
        <v>64.944000000000003</v>
      </c>
      <c r="M202" s="32">
        <f t="shared" si="47"/>
        <v>65.933999999999997</v>
      </c>
      <c r="N202" s="32">
        <f t="shared" si="47"/>
        <v>66.924000000000007</v>
      </c>
      <c r="O202" s="32">
        <f t="shared" si="47"/>
        <v>67.914000000000001</v>
      </c>
      <c r="P202" s="32">
        <f t="shared" si="47"/>
        <v>68.903999999999996</v>
      </c>
      <c r="Q202" s="32">
        <f t="shared" si="47"/>
        <v>69.894000000000005</v>
      </c>
      <c r="R202" s="32">
        <f t="shared" si="47"/>
        <v>70.884</v>
      </c>
      <c r="S202" s="32">
        <f t="shared" si="46"/>
        <v>71.874000000000009</v>
      </c>
      <c r="T202" s="186">
        <f t="shared" si="46"/>
        <v>72.864000000000004</v>
      </c>
      <c r="U202" s="32">
        <f t="shared" si="46"/>
        <v>73.854000000000013</v>
      </c>
      <c r="V202" s="32">
        <f t="shared" si="46"/>
        <v>74.843999999999994</v>
      </c>
      <c r="W202" s="32">
        <f t="shared" si="46"/>
        <v>75.834000000000003</v>
      </c>
      <c r="X202" s="32">
        <f t="shared" si="46"/>
        <v>76.824000000000012</v>
      </c>
      <c r="Y202" s="32">
        <f t="shared" si="46"/>
        <v>77.814000000000007</v>
      </c>
      <c r="Z202" s="32">
        <f t="shared" si="46"/>
        <v>78.804000000000002</v>
      </c>
      <c r="AA202" s="32">
        <f t="shared" si="46"/>
        <v>79.793999999999997</v>
      </c>
      <c r="AB202" s="32">
        <f t="shared" si="46"/>
        <v>80.784000000000006</v>
      </c>
      <c r="AC202" s="32">
        <f t="shared" si="46"/>
        <v>81.774000000000015</v>
      </c>
      <c r="AD202" s="32">
        <f t="shared" si="46"/>
        <v>82.763999999999996</v>
      </c>
      <c r="AE202" s="32">
        <f t="shared" si="46"/>
        <v>83.754000000000005</v>
      </c>
      <c r="AF202" s="32">
        <f t="shared" si="46"/>
        <v>84.744</v>
      </c>
      <c r="AG202" s="32">
        <f t="shared" si="46"/>
        <v>85.734000000000009</v>
      </c>
      <c r="AH202" s="32">
        <f t="shared" si="50"/>
        <v>86.724000000000004</v>
      </c>
      <c r="AI202" s="32">
        <f t="shared" si="50"/>
        <v>87.713999999999999</v>
      </c>
      <c r="AJ202" s="32">
        <f t="shared" si="50"/>
        <v>88.704000000000008</v>
      </c>
      <c r="AK202" s="32">
        <f t="shared" si="50"/>
        <v>89.694000000000003</v>
      </c>
      <c r="AL202" s="32">
        <f t="shared" si="50"/>
        <v>90.684000000000012</v>
      </c>
      <c r="AM202" s="32">
        <f t="shared" si="50"/>
        <v>91.674000000000007</v>
      </c>
      <c r="AN202" s="32">
        <f t="shared" si="50"/>
        <v>92.664000000000001</v>
      </c>
      <c r="AO202" s="32">
        <f t="shared" si="50"/>
        <v>93.654000000000011</v>
      </c>
      <c r="AP202" s="32">
        <f t="shared" si="50"/>
        <v>94.644000000000005</v>
      </c>
      <c r="AQ202" s="32">
        <f t="shared" si="50"/>
        <v>95.634</v>
      </c>
      <c r="AR202" s="32">
        <f t="shared" si="50"/>
        <v>96.624000000000009</v>
      </c>
      <c r="AS202" s="32">
        <f t="shared" si="50"/>
        <v>97.614000000000004</v>
      </c>
      <c r="AT202" s="32">
        <f t="shared" si="49"/>
        <v>98.604000000000013</v>
      </c>
      <c r="AU202" s="32">
        <f t="shared" si="49"/>
        <v>99.593999999999994</v>
      </c>
      <c r="AV202" s="32">
        <f t="shared" si="49"/>
        <v>100.584</v>
      </c>
      <c r="AW202" s="32">
        <f t="shared" si="49"/>
        <v>101.57400000000001</v>
      </c>
      <c r="AX202" s="32">
        <f t="shared" si="49"/>
        <v>102.56400000000001</v>
      </c>
      <c r="AY202" s="32">
        <f t="shared" si="49"/>
        <v>103.554</v>
      </c>
      <c r="AZ202" s="32">
        <f t="shared" si="49"/>
        <v>104.544</v>
      </c>
      <c r="BA202" s="16"/>
    </row>
    <row r="203" spans="1:53" hidden="1" x14ac:dyDescent="0.25">
      <c r="A203" s="16"/>
      <c r="B203" s="31">
        <v>67</v>
      </c>
      <c r="C203" s="32">
        <f t="shared" si="47"/>
        <v>56.133000000000003</v>
      </c>
      <c r="D203" s="32">
        <f t="shared" si="47"/>
        <v>57.123000000000012</v>
      </c>
      <c r="E203" s="32">
        <f t="shared" si="47"/>
        <v>58.113000000000014</v>
      </c>
      <c r="F203" s="32">
        <f t="shared" si="47"/>
        <v>59.103000000000009</v>
      </c>
      <c r="G203" s="32">
        <f t="shared" si="47"/>
        <v>60.093000000000011</v>
      </c>
      <c r="H203" s="32">
        <f t="shared" si="47"/>
        <v>61.083000000000006</v>
      </c>
      <c r="I203" s="32">
        <f t="shared" si="47"/>
        <v>62.073000000000015</v>
      </c>
      <c r="J203" s="32">
        <f t="shared" si="47"/>
        <v>63.063000000000009</v>
      </c>
      <c r="K203" s="32">
        <f t="shared" si="47"/>
        <v>64.053000000000011</v>
      </c>
      <c r="L203" s="32">
        <f t="shared" si="47"/>
        <v>65.043000000000006</v>
      </c>
      <c r="M203" s="32">
        <f t="shared" si="47"/>
        <v>66.033000000000001</v>
      </c>
      <c r="N203" s="32">
        <f t="shared" si="47"/>
        <v>67.02300000000001</v>
      </c>
      <c r="O203" s="32">
        <f t="shared" si="47"/>
        <v>68.013000000000005</v>
      </c>
      <c r="P203" s="32">
        <f t="shared" si="47"/>
        <v>69.003000000000014</v>
      </c>
      <c r="Q203" s="32">
        <f t="shared" si="47"/>
        <v>69.993000000000009</v>
      </c>
      <c r="R203" s="32">
        <f t="shared" si="47"/>
        <v>70.983000000000004</v>
      </c>
      <c r="S203" s="32">
        <f t="shared" si="46"/>
        <v>71.973000000000013</v>
      </c>
      <c r="T203" s="186">
        <f t="shared" si="46"/>
        <v>72.963000000000008</v>
      </c>
      <c r="U203" s="32">
        <f t="shared" si="46"/>
        <v>73.953000000000017</v>
      </c>
      <c r="V203" s="32">
        <f t="shared" si="46"/>
        <v>74.943000000000012</v>
      </c>
      <c r="W203" s="32">
        <f t="shared" si="46"/>
        <v>75.933000000000007</v>
      </c>
      <c r="X203" s="32">
        <f t="shared" si="46"/>
        <v>76.923000000000016</v>
      </c>
      <c r="Y203" s="32">
        <f t="shared" si="46"/>
        <v>77.913000000000011</v>
      </c>
      <c r="Z203" s="32">
        <f t="shared" si="46"/>
        <v>78.903000000000006</v>
      </c>
      <c r="AA203" s="32">
        <f t="shared" si="46"/>
        <v>79.893000000000015</v>
      </c>
      <c r="AB203" s="32">
        <f t="shared" si="46"/>
        <v>80.88300000000001</v>
      </c>
      <c r="AC203" s="32">
        <f t="shared" si="46"/>
        <v>81.873000000000019</v>
      </c>
      <c r="AD203" s="32">
        <f t="shared" si="46"/>
        <v>82.863</v>
      </c>
      <c r="AE203" s="32">
        <f t="shared" si="46"/>
        <v>83.853000000000009</v>
      </c>
      <c r="AF203" s="32">
        <f t="shared" si="46"/>
        <v>84.843000000000018</v>
      </c>
      <c r="AG203" s="32">
        <f t="shared" si="46"/>
        <v>85.833000000000013</v>
      </c>
      <c r="AH203" s="32">
        <f t="shared" si="50"/>
        <v>86.823000000000008</v>
      </c>
      <c r="AI203" s="32">
        <f t="shared" si="50"/>
        <v>87.813000000000002</v>
      </c>
      <c r="AJ203" s="32">
        <f t="shared" si="50"/>
        <v>88.803000000000011</v>
      </c>
      <c r="AK203" s="32">
        <f t="shared" si="50"/>
        <v>89.793000000000021</v>
      </c>
      <c r="AL203" s="32">
        <f t="shared" si="50"/>
        <v>90.783000000000015</v>
      </c>
      <c r="AM203" s="32">
        <f t="shared" si="49"/>
        <v>91.77300000000001</v>
      </c>
      <c r="AN203" s="32">
        <f t="shared" si="49"/>
        <v>92.763000000000005</v>
      </c>
      <c r="AO203" s="32">
        <f t="shared" si="49"/>
        <v>93.753000000000014</v>
      </c>
      <c r="AP203" s="32">
        <f t="shared" si="49"/>
        <v>94.743000000000023</v>
      </c>
      <c r="AQ203" s="32">
        <f t="shared" si="49"/>
        <v>95.733000000000004</v>
      </c>
      <c r="AR203" s="32">
        <f t="shared" si="49"/>
        <v>96.723000000000013</v>
      </c>
      <c r="AS203" s="32">
        <f t="shared" si="49"/>
        <v>97.713000000000008</v>
      </c>
      <c r="AT203" s="32">
        <f t="shared" si="49"/>
        <v>98.703000000000017</v>
      </c>
      <c r="AU203" s="32">
        <f t="shared" si="49"/>
        <v>99.693000000000012</v>
      </c>
      <c r="AV203" s="32">
        <f t="shared" si="49"/>
        <v>100.68300000000001</v>
      </c>
      <c r="AW203" s="32">
        <f t="shared" si="49"/>
        <v>101.67300000000002</v>
      </c>
      <c r="AX203" s="32">
        <f t="shared" si="49"/>
        <v>102.66300000000001</v>
      </c>
      <c r="AY203" s="32">
        <f t="shared" si="49"/>
        <v>103.65300000000001</v>
      </c>
      <c r="AZ203" s="32">
        <f t="shared" si="49"/>
        <v>104.64300000000001</v>
      </c>
      <c r="BA203" s="16"/>
    </row>
    <row r="204" spans="1:53" hidden="1" x14ac:dyDescent="0.25">
      <c r="A204" s="16"/>
      <c r="B204" s="31">
        <v>68</v>
      </c>
      <c r="C204" s="32">
        <f t="shared" si="47"/>
        <v>56.231999999999999</v>
      </c>
      <c r="D204" s="32">
        <f t="shared" si="47"/>
        <v>57.222000000000001</v>
      </c>
      <c r="E204" s="32">
        <f t="shared" si="47"/>
        <v>58.212000000000003</v>
      </c>
      <c r="F204" s="32">
        <f t="shared" si="47"/>
        <v>59.202000000000005</v>
      </c>
      <c r="G204" s="32">
        <f t="shared" si="47"/>
        <v>60.192</v>
      </c>
      <c r="H204" s="32">
        <f t="shared" si="47"/>
        <v>61.182000000000002</v>
      </c>
      <c r="I204" s="32">
        <f t="shared" si="47"/>
        <v>62.172000000000004</v>
      </c>
      <c r="J204" s="32">
        <f t="shared" si="47"/>
        <v>63.162000000000006</v>
      </c>
      <c r="K204" s="32">
        <f t="shared" si="47"/>
        <v>64.152000000000001</v>
      </c>
      <c r="L204" s="32">
        <f t="shared" si="47"/>
        <v>65.14200000000001</v>
      </c>
      <c r="M204" s="32">
        <f t="shared" si="47"/>
        <v>66.132000000000005</v>
      </c>
      <c r="N204" s="32">
        <f t="shared" si="47"/>
        <v>67.122</v>
      </c>
      <c r="O204" s="32">
        <f t="shared" si="47"/>
        <v>68.112000000000009</v>
      </c>
      <c r="P204" s="32">
        <f t="shared" si="47"/>
        <v>69.102000000000004</v>
      </c>
      <c r="Q204" s="32">
        <f t="shared" si="47"/>
        <v>70.091999999999999</v>
      </c>
      <c r="R204" s="32">
        <f t="shared" si="47"/>
        <v>71.082000000000008</v>
      </c>
      <c r="S204" s="32">
        <f t="shared" si="46"/>
        <v>72.072000000000003</v>
      </c>
      <c r="T204" s="186">
        <f t="shared" si="46"/>
        <v>73.062000000000012</v>
      </c>
      <c r="U204" s="32">
        <f t="shared" si="46"/>
        <v>74.051999999999992</v>
      </c>
      <c r="V204" s="32">
        <f t="shared" si="46"/>
        <v>75.042000000000002</v>
      </c>
      <c r="W204" s="32">
        <f t="shared" si="46"/>
        <v>76.032000000000011</v>
      </c>
      <c r="X204" s="32">
        <f t="shared" si="46"/>
        <v>77.022000000000006</v>
      </c>
      <c r="Y204" s="32">
        <f t="shared" si="46"/>
        <v>78.012000000000015</v>
      </c>
      <c r="Z204" s="32">
        <f t="shared" si="46"/>
        <v>79.001999999999995</v>
      </c>
      <c r="AA204" s="32">
        <f t="shared" si="46"/>
        <v>79.992000000000004</v>
      </c>
      <c r="AB204" s="32">
        <f t="shared" si="46"/>
        <v>80.982000000000014</v>
      </c>
      <c r="AC204" s="32">
        <f t="shared" si="46"/>
        <v>81.972000000000008</v>
      </c>
      <c r="AD204" s="32">
        <f t="shared" si="46"/>
        <v>82.962000000000003</v>
      </c>
      <c r="AE204" s="32">
        <f t="shared" si="46"/>
        <v>83.951999999999998</v>
      </c>
      <c r="AF204" s="32">
        <f t="shared" si="46"/>
        <v>84.942000000000007</v>
      </c>
      <c r="AG204" s="32">
        <f t="shared" si="46"/>
        <v>85.932000000000016</v>
      </c>
      <c r="AH204" s="32">
        <f t="shared" si="50"/>
        <v>86.921999999999997</v>
      </c>
      <c r="AI204" s="32">
        <f t="shared" si="50"/>
        <v>87.912000000000006</v>
      </c>
      <c r="AJ204" s="32">
        <f t="shared" si="50"/>
        <v>88.902000000000001</v>
      </c>
      <c r="AK204" s="32">
        <f t="shared" si="50"/>
        <v>89.89200000000001</v>
      </c>
      <c r="AL204" s="32">
        <f t="shared" si="50"/>
        <v>90.882000000000019</v>
      </c>
      <c r="AM204" s="32">
        <f t="shared" si="49"/>
        <v>91.872</v>
      </c>
      <c r="AN204" s="32">
        <f t="shared" si="49"/>
        <v>92.862000000000009</v>
      </c>
      <c r="AO204" s="32">
        <f t="shared" si="49"/>
        <v>93.852000000000004</v>
      </c>
      <c r="AP204" s="32">
        <f t="shared" si="49"/>
        <v>94.842000000000013</v>
      </c>
      <c r="AQ204" s="32">
        <f t="shared" si="49"/>
        <v>95.832000000000008</v>
      </c>
      <c r="AR204" s="32">
        <f t="shared" si="49"/>
        <v>96.822000000000003</v>
      </c>
      <c r="AS204" s="32">
        <f t="shared" si="49"/>
        <v>97.812000000000012</v>
      </c>
      <c r="AT204" s="32">
        <f t="shared" si="49"/>
        <v>98.802000000000007</v>
      </c>
      <c r="AU204" s="32">
        <f t="shared" si="49"/>
        <v>99.792000000000002</v>
      </c>
      <c r="AV204" s="32">
        <f t="shared" si="49"/>
        <v>100.78200000000001</v>
      </c>
      <c r="AW204" s="32">
        <f t="shared" si="49"/>
        <v>101.77200000000001</v>
      </c>
      <c r="AX204" s="32">
        <f t="shared" si="49"/>
        <v>102.76200000000001</v>
      </c>
      <c r="AY204" s="32">
        <f t="shared" si="49"/>
        <v>103.752</v>
      </c>
      <c r="AZ204" s="32">
        <f t="shared" si="49"/>
        <v>104.742</v>
      </c>
      <c r="BA204" s="16"/>
    </row>
    <row r="205" spans="1:53" hidden="1" x14ac:dyDescent="0.25">
      <c r="A205" s="16"/>
      <c r="B205" s="31">
        <v>69</v>
      </c>
      <c r="C205" s="32">
        <f t="shared" si="47"/>
        <v>56.331000000000003</v>
      </c>
      <c r="D205" s="32">
        <f t="shared" si="47"/>
        <v>57.321000000000005</v>
      </c>
      <c r="E205" s="32">
        <f t="shared" si="47"/>
        <v>58.311</v>
      </c>
      <c r="F205" s="32">
        <f t="shared" si="47"/>
        <v>59.301000000000002</v>
      </c>
      <c r="G205" s="32">
        <f t="shared" si="47"/>
        <v>60.291000000000004</v>
      </c>
      <c r="H205" s="32">
        <f t="shared" si="47"/>
        <v>61.281000000000006</v>
      </c>
      <c r="I205" s="32">
        <f t="shared" si="47"/>
        <v>62.271000000000008</v>
      </c>
      <c r="J205" s="32">
        <f t="shared" si="47"/>
        <v>63.261000000000003</v>
      </c>
      <c r="K205" s="32">
        <f t="shared" si="47"/>
        <v>64.251000000000005</v>
      </c>
      <c r="L205" s="32">
        <f t="shared" si="47"/>
        <v>65.241000000000014</v>
      </c>
      <c r="M205" s="32">
        <f t="shared" si="47"/>
        <v>66.231000000000009</v>
      </c>
      <c r="N205" s="32">
        <f t="shared" si="47"/>
        <v>67.221000000000018</v>
      </c>
      <c r="O205" s="32">
        <f t="shared" si="47"/>
        <v>68.211000000000013</v>
      </c>
      <c r="P205" s="32">
        <f t="shared" si="47"/>
        <v>69.201000000000008</v>
      </c>
      <c r="Q205" s="32">
        <f t="shared" si="47"/>
        <v>70.191000000000017</v>
      </c>
      <c r="R205" s="32">
        <f t="shared" si="47"/>
        <v>71.181000000000012</v>
      </c>
      <c r="S205" s="32">
        <f t="shared" si="46"/>
        <v>72.171000000000021</v>
      </c>
      <c r="T205" s="186">
        <f t="shared" si="46"/>
        <v>73.161000000000016</v>
      </c>
      <c r="U205" s="32">
        <f t="shared" si="46"/>
        <v>74.151000000000025</v>
      </c>
      <c r="V205" s="32">
        <f t="shared" si="46"/>
        <v>75.141000000000005</v>
      </c>
      <c r="W205" s="32">
        <f t="shared" si="46"/>
        <v>76.131000000000014</v>
      </c>
      <c r="X205" s="32">
        <f t="shared" si="46"/>
        <v>77.121000000000024</v>
      </c>
      <c r="Y205" s="32">
        <f t="shared" si="46"/>
        <v>78.111000000000018</v>
      </c>
      <c r="Z205" s="32">
        <f t="shared" si="46"/>
        <v>79.101000000000013</v>
      </c>
      <c r="AA205" s="32">
        <f t="shared" si="46"/>
        <v>80.091000000000008</v>
      </c>
      <c r="AB205" s="32">
        <f t="shared" si="46"/>
        <v>81.081000000000017</v>
      </c>
      <c r="AC205" s="32">
        <f t="shared" si="46"/>
        <v>82.071000000000026</v>
      </c>
      <c r="AD205" s="32">
        <f t="shared" si="46"/>
        <v>83.061000000000007</v>
      </c>
      <c r="AE205" s="32">
        <f t="shared" si="46"/>
        <v>84.051000000000016</v>
      </c>
      <c r="AF205" s="32">
        <f t="shared" si="46"/>
        <v>85.041000000000011</v>
      </c>
      <c r="AG205" s="32">
        <f t="shared" si="46"/>
        <v>86.03100000000002</v>
      </c>
      <c r="AH205" s="32">
        <f t="shared" si="50"/>
        <v>87.021000000000015</v>
      </c>
      <c r="AI205" s="32">
        <f t="shared" si="50"/>
        <v>88.01100000000001</v>
      </c>
      <c r="AJ205" s="32">
        <f t="shared" si="50"/>
        <v>89.001000000000019</v>
      </c>
      <c r="AK205" s="32">
        <f t="shared" si="50"/>
        <v>89.991000000000014</v>
      </c>
      <c r="AL205" s="32">
        <f t="shared" si="50"/>
        <v>90.981000000000023</v>
      </c>
      <c r="AM205" s="32">
        <f t="shared" si="49"/>
        <v>91.971000000000018</v>
      </c>
      <c r="AN205" s="32">
        <f t="shared" si="49"/>
        <v>92.961000000000013</v>
      </c>
      <c r="AO205" s="32">
        <f t="shared" si="49"/>
        <v>93.951000000000022</v>
      </c>
      <c r="AP205" s="32">
        <f t="shared" si="49"/>
        <v>94.941000000000017</v>
      </c>
      <c r="AQ205" s="32">
        <f t="shared" si="49"/>
        <v>95.931000000000012</v>
      </c>
      <c r="AR205" s="32">
        <f t="shared" si="49"/>
        <v>96.921000000000021</v>
      </c>
      <c r="AS205" s="32">
        <f t="shared" si="49"/>
        <v>97.911000000000016</v>
      </c>
      <c r="AT205" s="32">
        <f t="shared" si="49"/>
        <v>98.901000000000025</v>
      </c>
      <c r="AU205" s="32">
        <f t="shared" si="49"/>
        <v>99.891000000000005</v>
      </c>
      <c r="AV205" s="32">
        <f t="shared" si="49"/>
        <v>100.88100000000001</v>
      </c>
      <c r="AW205" s="32">
        <f t="shared" si="49"/>
        <v>101.87100000000002</v>
      </c>
      <c r="AX205" s="32">
        <f t="shared" si="49"/>
        <v>102.86100000000002</v>
      </c>
      <c r="AY205" s="32">
        <f t="shared" si="49"/>
        <v>103.85100000000001</v>
      </c>
      <c r="AZ205" s="32">
        <f t="shared" si="49"/>
        <v>104.84100000000001</v>
      </c>
      <c r="BA205" s="16"/>
    </row>
    <row r="206" spans="1:53" hidden="1" x14ac:dyDescent="0.25">
      <c r="A206" s="16"/>
      <c r="B206" s="31">
        <v>70</v>
      </c>
      <c r="C206" s="32">
        <f t="shared" si="47"/>
        <v>56.430000000000007</v>
      </c>
      <c r="D206" s="32">
        <f t="shared" si="47"/>
        <v>57.420000000000009</v>
      </c>
      <c r="E206" s="32">
        <f t="shared" si="47"/>
        <v>58.410000000000004</v>
      </c>
      <c r="F206" s="32">
        <f t="shared" si="47"/>
        <v>59.400000000000006</v>
      </c>
      <c r="G206" s="32">
        <f t="shared" si="47"/>
        <v>60.39</v>
      </c>
      <c r="H206" s="32">
        <f t="shared" si="47"/>
        <v>61.38000000000001</v>
      </c>
      <c r="I206" s="32">
        <f t="shared" si="47"/>
        <v>62.370000000000012</v>
      </c>
      <c r="J206" s="32">
        <f t="shared" si="47"/>
        <v>63.360000000000007</v>
      </c>
      <c r="K206" s="32">
        <f t="shared" si="47"/>
        <v>64.350000000000009</v>
      </c>
      <c r="L206" s="32">
        <f t="shared" si="47"/>
        <v>65.34</v>
      </c>
      <c r="M206" s="32">
        <f t="shared" si="47"/>
        <v>66.330000000000013</v>
      </c>
      <c r="N206" s="32">
        <f t="shared" si="47"/>
        <v>67.320000000000007</v>
      </c>
      <c r="O206" s="32">
        <f t="shared" si="47"/>
        <v>68.31</v>
      </c>
      <c r="P206" s="32">
        <f t="shared" si="47"/>
        <v>69.300000000000011</v>
      </c>
      <c r="Q206" s="32">
        <f t="shared" si="47"/>
        <v>70.290000000000006</v>
      </c>
      <c r="R206" s="32">
        <f t="shared" si="47"/>
        <v>71.28</v>
      </c>
      <c r="S206" s="32">
        <f t="shared" si="46"/>
        <v>72.27000000000001</v>
      </c>
      <c r="T206" s="186">
        <f t="shared" si="46"/>
        <v>73.260000000000019</v>
      </c>
      <c r="U206" s="32">
        <f t="shared" si="46"/>
        <v>74.25</v>
      </c>
      <c r="V206" s="32">
        <f t="shared" si="46"/>
        <v>75.240000000000009</v>
      </c>
      <c r="W206" s="32">
        <f t="shared" si="46"/>
        <v>76.23</v>
      </c>
      <c r="X206" s="32">
        <f t="shared" si="46"/>
        <v>77.220000000000013</v>
      </c>
      <c r="Y206" s="32">
        <f t="shared" si="46"/>
        <v>78.210000000000022</v>
      </c>
      <c r="Z206" s="32">
        <f t="shared" si="46"/>
        <v>79.2</v>
      </c>
      <c r="AA206" s="32">
        <f t="shared" si="46"/>
        <v>80.190000000000012</v>
      </c>
      <c r="AB206" s="32">
        <f t="shared" si="46"/>
        <v>81.180000000000007</v>
      </c>
      <c r="AC206" s="32">
        <f t="shared" si="46"/>
        <v>82.170000000000016</v>
      </c>
      <c r="AD206" s="32">
        <f t="shared" si="46"/>
        <v>83.160000000000011</v>
      </c>
      <c r="AE206" s="32">
        <f t="shared" si="46"/>
        <v>84.15</v>
      </c>
      <c r="AF206" s="32">
        <f t="shared" si="46"/>
        <v>85.140000000000015</v>
      </c>
      <c r="AG206" s="32">
        <f t="shared" si="46"/>
        <v>86.13000000000001</v>
      </c>
      <c r="AH206" s="32">
        <f t="shared" si="50"/>
        <v>87.12</v>
      </c>
      <c r="AI206" s="32">
        <f t="shared" si="50"/>
        <v>88.110000000000014</v>
      </c>
      <c r="AJ206" s="32">
        <f t="shared" si="50"/>
        <v>89.100000000000009</v>
      </c>
      <c r="AK206" s="32">
        <f t="shared" si="50"/>
        <v>90.090000000000018</v>
      </c>
      <c r="AL206" s="32">
        <f t="shared" si="50"/>
        <v>91.08</v>
      </c>
      <c r="AM206" s="32">
        <f t="shared" si="49"/>
        <v>92.070000000000007</v>
      </c>
      <c r="AN206" s="32">
        <f t="shared" si="49"/>
        <v>93.060000000000016</v>
      </c>
      <c r="AO206" s="32">
        <f t="shared" si="49"/>
        <v>94.050000000000011</v>
      </c>
      <c r="AP206" s="32">
        <f t="shared" si="49"/>
        <v>95.04000000000002</v>
      </c>
      <c r="AQ206" s="32">
        <f t="shared" si="49"/>
        <v>96.03</v>
      </c>
      <c r="AR206" s="32">
        <f t="shared" si="49"/>
        <v>97.02000000000001</v>
      </c>
      <c r="AS206" s="32">
        <f t="shared" si="49"/>
        <v>98.010000000000019</v>
      </c>
      <c r="AT206" s="32">
        <f t="shared" si="49"/>
        <v>99.000000000000014</v>
      </c>
      <c r="AU206" s="32">
        <f t="shared" si="49"/>
        <v>99.990000000000009</v>
      </c>
      <c r="AV206" s="32">
        <f t="shared" si="49"/>
        <v>100.98</v>
      </c>
      <c r="AW206" s="32">
        <f t="shared" si="49"/>
        <v>101.97000000000001</v>
      </c>
      <c r="AX206" s="32">
        <f t="shared" si="49"/>
        <v>102.96000000000002</v>
      </c>
      <c r="AY206" s="32">
        <f t="shared" si="49"/>
        <v>103.95</v>
      </c>
      <c r="AZ206" s="32">
        <f t="shared" si="49"/>
        <v>104.94000000000001</v>
      </c>
      <c r="BA206" s="16"/>
    </row>
    <row r="207" spans="1:53" hidden="1" x14ac:dyDescent="0.25">
      <c r="A207" s="16"/>
      <c r="B207" s="31">
        <v>71</v>
      </c>
      <c r="C207" s="32">
        <f t="shared" si="47"/>
        <v>56.529000000000003</v>
      </c>
      <c r="D207" s="32">
        <f t="shared" si="47"/>
        <v>57.519000000000005</v>
      </c>
      <c r="E207" s="32">
        <f t="shared" si="47"/>
        <v>58.509000000000007</v>
      </c>
      <c r="F207" s="32">
        <f t="shared" si="47"/>
        <v>59.499000000000009</v>
      </c>
      <c r="G207" s="32">
        <f t="shared" si="47"/>
        <v>60.489000000000004</v>
      </c>
      <c r="H207" s="32">
        <f t="shared" si="47"/>
        <v>61.479000000000006</v>
      </c>
      <c r="I207" s="32">
        <f t="shared" si="47"/>
        <v>62.469000000000001</v>
      </c>
      <c r="J207" s="32">
        <f t="shared" si="47"/>
        <v>63.459000000000003</v>
      </c>
      <c r="K207" s="32">
        <f t="shared" si="47"/>
        <v>64.448999999999998</v>
      </c>
      <c r="L207" s="32">
        <f t="shared" si="47"/>
        <v>65.438999999999993</v>
      </c>
      <c r="M207" s="32">
        <f t="shared" si="47"/>
        <v>66.429000000000002</v>
      </c>
      <c r="N207" s="32">
        <f t="shared" si="47"/>
        <v>67.419000000000011</v>
      </c>
      <c r="O207" s="32">
        <f t="shared" si="47"/>
        <v>68.409000000000006</v>
      </c>
      <c r="P207" s="32">
        <f t="shared" si="47"/>
        <v>69.399000000000001</v>
      </c>
      <c r="Q207" s="32">
        <f t="shared" si="47"/>
        <v>70.388999999999996</v>
      </c>
      <c r="R207" s="32">
        <f t="shared" si="47"/>
        <v>71.379000000000005</v>
      </c>
      <c r="S207" s="32">
        <f t="shared" si="46"/>
        <v>72.369</v>
      </c>
      <c r="T207" s="186">
        <f t="shared" si="46"/>
        <v>73.359000000000009</v>
      </c>
      <c r="U207" s="32">
        <f t="shared" si="46"/>
        <v>74.349000000000004</v>
      </c>
      <c r="V207" s="32">
        <f t="shared" si="46"/>
        <v>75.338999999999999</v>
      </c>
      <c r="W207" s="32">
        <f t="shared" si="46"/>
        <v>76.329000000000008</v>
      </c>
      <c r="X207" s="32">
        <f t="shared" si="46"/>
        <v>77.319000000000003</v>
      </c>
      <c r="Y207" s="32">
        <f t="shared" si="46"/>
        <v>78.308999999999997</v>
      </c>
      <c r="Z207" s="32">
        <f t="shared" si="46"/>
        <v>79.299000000000007</v>
      </c>
      <c r="AA207" s="32">
        <f t="shared" si="46"/>
        <v>80.289000000000001</v>
      </c>
      <c r="AB207" s="32">
        <f t="shared" si="46"/>
        <v>81.279000000000011</v>
      </c>
      <c r="AC207" s="32">
        <f t="shared" si="46"/>
        <v>82.268999999999991</v>
      </c>
      <c r="AD207" s="32">
        <f t="shared" si="46"/>
        <v>83.259</v>
      </c>
      <c r="AE207" s="32">
        <f t="shared" si="46"/>
        <v>84.249000000000009</v>
      </c>
      <c r="AF207" s="32">
        <f t="shared" si="46"/>
        <v>85.239000000000004</v>
      </c>
      <c r="AG207" s="32">
        <f t="shared" si="46"/>
        <v>86.229000000000013</v>
      </c>
      <c r="AH207" s="32">
        <f t="shared" si="50"/>
        <v>87.218999999999994</v>
      </c>
      <c r="AI207" s="32">
        <f t="shared" si="50"/>
        <v>88.209000000000003</v>
      </c>
      <c r="AJ207" s="32">
        <f t="shared" si="50"/>
        <v>89.199000000000012</v>
      </c>
      <c r="AK207" s="32">
        <f t="shared" si="50"/>
        <v>90.189000000000007</v>
      </c>
      <c r="AL207" s="32">
        <f t="shared" si="50"/>
        <v>91.179000000000002</v>
      </c>
      <c r="AM207" s="32">
        <f t="shared" si="49"/>
        <v>92.168999999999997</v>
      </c>
      <c r="AN207" s="32">
        <f t="shared" si="49"/>
        <v>93.159000000000006</v>
      </c>
      <c r="AO207" s="32">
        <f t="shared" si="49"/>
        <v>94.149000000000015</v>
      </c>
      <c r="AP207" s="32">
        <f t="shared" si="49"/>
        <v>95.138999999999996</v>
      </c>
      <c r="AQ207" s="32">
        <f t="shared" si="49"/>
        <v>96.129000000000005</v>
      </c>
      <c r="AR207" s="32">
        <f t="shared" si="49"/>
        <v>97.119</v>
      </c>
      <c r="AS207" s="32">
        <f t="shared" si="49"/>
        <v>98.109000000000009</v>
      </c>
      <c r="AT207" s="32">
        <f t="shared" si="49"/>
        <v>99.099000000000018</v>
      </c>
      <c r="AU207" s="32">
        <f t="shared" si="49"/>
        <v>100.089</v>
      </c>
      <c r="AV207" s="32">
        <f t="shared" si="49"/>
        <v>101.07900000000001</v>
      </c>
      <c r="AW207" s="32">
        <f t="shared" si="49"/>
        <v>102.069</v>
      </c>
      <c r="AX207" s="32">
        <f t="shared" si="49"/>
        <v>103.05900000000001</v>
      </c>
      <c r="AY207" s="32">
        <f t="shared" si="49"/>
        <v>104.04900000000001</v>
      </c>
      <c r="AZ207" s="32">
        <f t="shared" si="49"/>
        <v>105.039</v>
      </c>
      <c r="BA207" s="16"/>
    </row>
    <row r="208" spans="1:53" hidden="1" x14ac:dyDescent="0.25">
      <c r="A208" s="16"/>
      <c r="B208" s="31">
        <v>72</v>
      </c>
      <c r="C208" s="32">
        <f t="shared" si="47"/>
        <v>56.628000000000007</v>
      </c>
      <c r="D208" s="32">
        <f t="shared" si="47"/>
        <v>57.618000000000009</v>
      </c>
      <c r="E208" s="32">
        <f t="shared" si="47"/>
        <v>58.608000000000004</v>
      </c>
      <c r="F208" s="32">
        <f t="shared" si="47"/>
        <v>59.598000000000013</v>
      </c>
      <c r="G208" s="32">
        <f t="shared" si="47"/>
        <v>60.588000000000008</v>
      </c>
      <c r="H208" s="32">
        <f t="shared" si="47"/>
        <v>61.57800000000001</v>
      </c>
      <c r="I208" s="32">
        <f t="shared" si="47"/>
        <v>62.568000000000005</v>
      </c>
      <c r="J208" s="32">
        <f t="shared" si="47"/>
        <v>63.558000000000007</v>
      </c>
      <c r="K208" s="32">
        <f t="shared" si="47"/>
        <v>64.548000000000016</v>
      </c>
      <c r="L208" s="32">
        <f t="shared" si="47"/>
        <v>65.538000000000011</v>
      </c>
      <c r="M208" s="32">
        <f t="shared" si="47"/>
        <v>66.528000000000006</v>
      </c>
      <c r="N208" s="32">
        <f t="shared" si="47"/>
        <v>67.518000000000015</v>
      </c>
      <c r="O208" s="32">
        <f t="shared" si="47"/>
        <v>68.50800000000001</v>
      </c>
      <c r="P208" s="32">
        <f t="shared" si="47"/>
        <v>69.498000000000019</v>
      </c>
      <c r="Q208" s="32">
        <f t="shared" si="47"/>
        <v>70.488</v>
      </c>
      <c r="R208" s="32">
        <f t="shared" si="47"/>
        <v>71.478000000000009</v>
      </c>
      <c r="S208" s="32">
        <f t="shared" si="46"/>
        <v>72.468000000000018</v>
      </c>
      <c r="T208" s="186">
        <f t="shared" si="46"/>
        <v>73.458000000000013</v>
      </c>
      <c r="U208" s="32">
        <f t="shared" si="46"/>
        <v>74.448000000000008</v>
      </c>
      <c r="V208" s="32">
        <f t="shared" si="46"/>
        <v>75.438000000000002</v>
      </c>
      <c r="W208" s="32">
        <f t="shared" si="46"/>
        <v>76.428000000000011</v>
      </c>
      <c r="X208" s="32">
        <f t="shared" si="46"/>
        <v>77.418000000000021</v>
      </c>
      <c r="Y208" s="32">
        <f t="shared" si="46"/>
        <v>78.408000000000001</v>
      </c>
      <c r="Z208" s="32">
        <f t="shared" si="46"/>
        <v>79.39800000000001</v>
      </c>
      <c r="AA208" s="32">
        <f t="shared" si="46"/>
        <v>80.388000000000005</v>
      </c>
      <c r="AB208" s="32">
        <f t="shared" si="46"/>
        <v>81.378000000000014</v>
      </c>
      <c r="AC208" s="32">
        <f t="shared" si="46"/>
        <v>82.368000000000023</v>
      </c>
      <c r="AD208" s="32">
        <f t="shared" si="46"/>
        <v>83.358000000000004</v>
      </c>
      <c r="AE208" s="32">
        <f t="shared" si="46"/>
        <v>84.348000000000013</v>
      </c>
      <c r="AF208" s="32">
        <f t="shared" si="46"/>
        <v>85.338000000000008</v>
      </c>
      <c r="AG208" s="32">
        <f t="shared" si="46"/>
        <v>86.328000000000017</v>
      </c>
      <c r="AH208" s="32">
        <f t="shared" si="50"/>
        <v>87.318000000000012</v>
      </c>
      <c r="AI208" s="32">
        <f t="shared" si="50"/>
        <v>88.308000000000007</v>
      </c>
      <c r="AJ208" s="32">
        <f t="shared" si="50"/>
        <v>89.298000000000016</v>
      </c>
      <c r="AK208" s="32">
        <f t="shared" si="50"/>
        <v>90.288000000000011</v>
      </c>
      <c r="AL208" s="32">
        <f t="shared" si="50"/>
        <v>91.278000000000006</v>
      </c>
      <c r="AM208" s="32">
        <f t="shared" si="49"/>
        <v>92.268000000000015</v>
      </c>
      <c r="AN208" s="32">
        <f t="shared" si="49"/>
        <v>93.25800000000001</v>
      </c>
      <c r="AO208" s="32">
        <f t="shared" si="49"/>
        <v>94.248000000000019</v>
      </c>
      <c r="AP208" s="32">
        <f t="shared" si="49"/>
        <v>95.238</v>
      </c>
      <c r="AQ208" s="32">
        <f t="shared" si="49"/>
        <v>96.228000000000009</v>
      </c>
      <c r="AR208" s="32">
        <f t="shared" si="49"/>
        <v>97.218000000000018</v>
      </c>
      <c r="AS208" s="32">
        <f t="shared" si="49"/>
        <v>98.208000000000013</v>
      </c>
      <c r="AT208" s="32">
        <f t="shared" si="49"/>
        <v>99.198000000000022</v>
      </c>
      <c r="AU208" s="32">
        <f t="shared" si="49"/>
        <v>100.188</v>
      </c>
      <c r="AV208" s="32">
        <f t="shared" si="49"/>
        <v>101.17800000000001</v>
      </c>
      <c r="AW208" s="32">
        <f t="shared" si="49"/>
        <v>102.16800000000002</v>
      </c>
      <c r="AX208" s="32">
        <f t="shared" si="49"/>
        <v>103.15800000000002</v>
      </c>
      <c r="AY208" s="32">
        <f t="shared" si="49"/>
        <v>104.14800000000001</v>
      </c>
      <c r="AZ208" s="32">
        <f t="shared" si="49"/>
        <v>105.13800000000001</v>
      </c>
      <c r="BA208" s="16"/>
    </row>
    <row r="209" spans="1:53" hidden="1" x14ac:dyDescent="0.25">
      <c r="A209" s="16"/>
      <c r="B209" s="31">
        <v>73</v>
      </c>
      <c r="C209" s="32">
        <f t="shared" si="47"/>
        <v>56.727000000000004</v>
      </c>
      <c r="D209" s="32">
        <f t="shared" si="47"/>
        <v>57.717000000000006</v>
      </c>
      <c r="E209" s="32">
        <f t="shared" si="47"/>
        <v>58.707000000000001</v>
      </c>
      <c r="F209" s="32">
        <f t="shared" si="47"/>
        <v>59.697000000000003</v>
      </c>
      <c r="G209" s="32">
        <f t="shared" si="47"/>
        <v>60.687000000000005</v>
      </c>
      <c r="H209" s="32">
        <f t="shared" si="47"/>
        <v>61.677000000000007</v>
      </c>
      <c r="I209" s="32">
        <f t="shared" si="47"/>
        <v>62.667000000000002</v>
      </c>
      <c r="J209" s="32">
        <f t="shared" si="47"/>
        <v>63.657000000000004</v>
      </c>
      <c r="K209" s="32">
        <f t="shared" si="47"/>
        <v>64.647000000000006</v>
      </c>
      <c r="L209" s="32">
        <f t="shared" si="47"/>
        <v>65.637</v>
      </c>
      <c r="M209" s="32">
        <f t="shared" si="47"/>
        <v>66.62700000000001</v>
      </c>
      <c r="N209" s="32">
        <f t="shared" si="47"/>
        <v>67.617000000000004</v>
      </c>
      <c r="O209" s="32">
        <f t="shared" si="47"/>
        <v>68.606999999999999</v>
      </c>
      <c r="P209" s="32">
        <f t="shared" si="47"/>
        <v>69.596999999999994</v>
      </c>
      <c r="Q209" s="32">
        <f t="shared" si="47"/>
        <v>70.587000000000003</v>
      </c>
      <c r="R209" s="32">
        <f t="shared" ref="R209:AG216" si="51">(R$16-100+$B209/10)*0.9*1.1</f>
        <v>71.576999999999998</v>
      </c>
      <c r="S209" s="32">
        <f t="shared" si="51"/>
        <v>72.567000000000007</v>
      </c>
      <c r="T209" s="186">
        <f t="shared" si="51"/>
        <v>73.557000000000016</v>
      </c>
      <c r="U209" s="32">
        <f t="shared" si="51"/>
        <v>74.546999999999997</v>
      </c>
      <c r="V209" s="32">
        <f t="shared" si="51"/>
        <v>75.537000000000006</v>
      </c>
      <c r="W209" s="32">
        <f t="shared" si="51"/>
        <v>76.527000000000001</v>
      </c>
      <c r="X209" s="32">
        <f t="shared" si="51"/>
        <v>77.51700000000001</v>
      </c>
      <c r="Y209" s="32">
        <f t="shared" si="51"/>
        <v>78.507000000000005</v>
      </c>
      <c r="Z209" s="32">
        <f t="shared" si="51"/>
        <v>79.497</v>
      </c>
      <c r="AA209" s="32">
        <f t="shared" si="51"/>
        <v>80.487000000000009</v>
      </c>
      <c r="AB209" s="32">
        <f t="shared" si="51"/>
        <v>81.477000000000004</v>
      </c>
      <c r="AC209" s="32">
        <f t="shared" si="51"/>
        <v>82.466999999999999</v>
      </c>
      <c r="AD209" s="32">
        <f t="shared" si="51"/>
        <v>83.457000000000008</v>
      </c>
      <c r="AE209" s="32">
        <f t="shared" si="51"/>
        <v>84.447000000000003</v>
      </c>
      <c r="AF209" s="32">
        <f t="shared" si="51"/>
        <v>85.437000000000012</v>
      </c>
      <c r="AG209" s="32">
        <f t="shared" si="51"/>
        <v>86.426999999999992</v>
      </c>
      <c r="AH209" s="32">
        <f t="shared" si="50"/>
        <v>87.417000000000002</v>
      </c>
      <c r="AI209" s="32">
        <f t="shared" si="50"/>
        <v>88.407000000000011</v>
      </c>
      <c r="AJ209" s="32">
        <f t="shared" si="50"/>
        <v>89.397000000000006</v>
      </c>
      <c r="AK209" s="32">
        <f t="shared" si="50"/>
        <v>90.387000000000015</v>
      </c>
      <c r="AL209" s="32">
        <f t="shared" si="50"/>
        <v>91.376999999999995</v>
      </c>
      <c r="AM209" s="32">
        <f t="shared" si="49"/>
        <v>92.367000000000004</v>
      </c>
      <c r="AN209" s="32">
        <f t="shared" si="49"/>
        <v>93.357000000000014</v>
      </c>
      <c r="AO209" s="32">
        <f t="shared" si="49"/>
        <v>94.347000000000008</v>
      </c>
      <c r="AP209" s="32">
        <f t="shared" si="49"/>
        <v>95.337000000000003</v>
      </c>
      <c r="AQ209" s="32">
        <f t="shared" si="49"/>
        <v>96.326999999999998</v>
      </c>
      <c r="AR209" s="32">
        <f t="shared" si="49"/>
        <v>97.317000000000007</v>
      </c>
      <c r="AS209" s="32">
        <f t="shared" si="49"/>
        <v>98.307000000000016</v>
      </c>
      <c r="AT209" s="32">
        <f t="shared" si="49"/>
        <v>99.296999999999997</v>
      </c>
      <c r="AU209" s="32">
        <f t="shared" si="49"/>
        <v>100.28700000000001</v>
      </c>
      <c r="AV209" s="32">
        <f t="shared" si="49"/>
        <v>101.277</v>
      </c>
      <c r="AW209" s="32">
        <f t="shared" si="49"/>
        <v>102.26700000000001</v>
      </c>
      <c r="AX209" s="32">
        <f t="shared" si="49"/>
        <v>103.25700000000002</v>
      </c>
      <c r="AY209" s="32">
        <f t="shared" si="49"/>
        <v>104.247</v>
      </c>
      <c r="AZ209" s="32">
        <f t="shared" si="49"/>
        <v>105.23700000000001</v>
      </c>
      <c r="BA209" s="16"/>
    </row>
    <row r="210" spans="1:53" hidden="1" x14ac:dyDescent="0.25">
      <c r="A210" s="16"/>
      <c r="B210" s="31">
        <v>74</v>
      </c>
      <c r="C210" s="32">
        <f t="shared" ref="C210:R216" si="52">(C$16-100+$B210/10)*0.9*1.1</f>
        <v>56.826000000000001</v>
      </c>
      <c r="D210" s="32">
        <f t="shared" si="52"/>
        <v>57.81600000000001</v>
      </c>
      <c r="E210" s="32">
        <f t="shared" si="52"/>
        <v>58.806000000000004</v>
      </c>
      <c r="F210" s="32">
        <f t="shared" si="52"/>
        <v>59.796000000000006</v>
      </c>
      <c r="G210" s="32">
        <f t="shared" si="52"/>
        <v>60.786000000000001</v>
      </c>
      <c r="H210" s="32">
        <f t="shared" si="52"/>
        <v>61.776000000000003</v>
      </c>
      <c r="I210" s="32">
        <f t="shared" si="52"/>
        <v>62.766000000000005</v>
      </c>
      <c r="J210" s="32">
        <f t="shared" si="52"/>
        <v>63.756000000000014</v>
      </c>
      <c r="K210" s="32">
        <f t="shared" si="52"/>
        <v>64.746000000000009</v>
      </c>
      <c r="L210" s="32">
        <f t="shared" si="52"/>
        <v>65.736000000000004</v>
      </c>
      <c r="M210" s="32">
        <f t="shared" si="52"/>
        <v>66.726000000000013</v>
      </c>
      <c r="N210" s="32">
        <f t="shared" si="52"/>
        <v>67.716000000000022</v>
      </c>
      <c r="O210" s="32">
        <f t="shared" si="52"/>
        <v>68.706000000000017</v>
      </c>
      <c r="P210" s="32">
        <f t="shared" si="52"/>
        <v>69.696000000000012</v>
      </c>
      <c r="Q210" s="32">
        <f t="shared" si="52"/>
        <v>70.686000000000007</v>
      </c>
      <c r="R210" s="32">
        <f t="shared" si="52"/>
        <v>71.676000000000016</v>
      </c>
      <c r="S210" s="32">
        <f t="shared" si="51"/>
        <v>72.666000000000011</v>
      </c>
      <c r="T210" s="186">
        <f t="shared" si="51"/>
        <v>73.65600000000002</v>
      </c>
      <c r="U210" s="32">
        <f t="shared" si="51"/>
        <v>74.646000000000015</v>
      </c>
      <c r="V210" s="32">
        <f t="shared" si="51"/>
        <v>75.63600000000001</v>
      </c>
      <c r="W210" s="32">
        <f t="shared" si="51"/>
        <v>76.626000000000019</v>
      </c>
      <c r="X210" s="32">
        <f t="shared" si="51"/>
        <v>77.616000000000014</v>
      </c>
      <c r="Y210" s="32">
        <f t="shared" si="51"/>
        <v>78.606000000000009</v>
      </c>
      <c r="Z210" s="32">
        <f t="shared" si="51"/>
        <v>79.596000000000018</v>
      </c>
      <c r="AA210" s="32">
        <f t="shared" si="51"/>
        <v>80.586000000000013</v>
      </c>
      <c r="AB210" s="32">
        <f t="shared" si="51"/>
        <v>81.576000000000022</v>
      </c>
      <c r="AC210" s="32">
        <f t="shared" si="51"/>
        <v>82.566000000000003</v>
      </c>
      <c r="AD210" s="32">
        <f t="shared" si="51"/>
        <v>83.556000000000012</v>
      </c>
      <c r="AE210" s="32">
        <f t="shared" si="51"/>
        <v>84.546000000000021</v>
      </c>
      <c r="AF210" s="32">
        <f t="shared" si="51"/>
        <v>85.536000000000016</v>
      </c>
      <c r="AG210" s="32">
        <f t="shared" si="51"/>
        <v>86.526000000000025</v>
      </c>
      <c r="AH210" s="32">
        <f t="shared" si="50"/>
        <v>87.516000000000005</v>
      </c>
      <c r="AI210" s="32">
        <f t="shared" si="50"/>
        <v>88.506000000000014</v>
      </c>
      <c r="AJ210" s="32">
        <f t="shared" si="50"/>
        <v>89.496000000000024</v>
      </c>
      <c r="AK210" s="32">
        <f t="shared" si="50"/>
        <v>90.486000000000018</v>
      </c>
      <c r="AL210" s="32">
        <f t="shared" si="50"/>
        <v>91.476000000000013</v>
      </c>
      <c r="AM210" s="32">
        <f t="shared" si="49"/>
        <v>92.466000000000008</v>
      </c>
      <c r="AN210" s="32">
        <f t="shared" si="49"/>
        <v>93.456000000000017</v>
      </c>
      <c r="AO210" s="32">
        <f t="shared" si="49"/>
        <v>94.446000000000026</v>
      </c>
      <c r="AP210" s="32">
        <f t="shared" si="49"/>
        <v>95.436000000000007</v>
      </c>
      <c r="AQ210" s="32">
        <f t="shared" si="49"/>
        <v>96.426000000000016</v>
      </c>
      <c r="AR210" s="32">
        <f t="shared" si="49"/>
        <v>97.416000000000011</v>
      </c>
      <c r="AS210" s="32">
        <f t="shared" si="49"/>
        <v>98.40600000000002</v>
      </c>
      <c r="AT210" s="32">
        <f t="shared" si="49"/>
        <v>99.396000000000029</v>
      </c>
      <c r="AU210" s="32">
        <f t="shared" si="49"/>
        <v>100.38600000000001</v>
      </c>
      <c r="AV210" s="32">
        <f t="shared" si="49"/>
        <v>101.37600000000002</v>
      </c>
      <c r="AW210" s="32">
        <f t="shared" si="49"/>
        <v>102.36600000000001</v>
      </c>
      <c r="AX210" s="32">
        <f t="shared" si="49"/>
        <v>103.35600000000002</v>
      </c>
      <c r="AY210" s="32">
        <f t="shared" si="49"/>
        <v>104.34600000000002</v>
      </c>
      <c r="AZ210" s="32">
        <f t="shared" si="49"/>
        <v>105.33600000000001</v>
      </c>
      <c r="BA210" s="16"/>
    </row>
    <row r="211" spans="1:53" hidden="1" x14ac:dyDescent="0.25">
      <c r="A211" s="16"/>
      <c r="B211" s="31">
        <v>75</v>
      </c>
      <c r="C211" s="32">
        <f t="shared" si="52"/>
        <v>56.925000000000004</v>
      </c>
      <c r="D211" s="32">
        <f t="shared" si="52"/>
        <v>57.915000000000006</v>
      </c>
      <c r="E211" s="32">
        <f t="shared" si="52"/>
        <v>58.905000000000008</v>
      </c>
      <c r="F211" s="32">
        <f t="shared" si="52"/>
        <v>59.89500000000001</v>
      </c>
      <c r="G211" s="32">
        <f t="shared" si="52"/>
        <v>60.885000000000005</v>
      </c>
      <c r="H211" s="32">
        <f t="shared" si="52"/>
        <v>61.875000000000007</v>
      </c>
      <c r="I211" s="32">
        <f t="shared" si="52"/>
        <v>62.865000000000002</v>
      </c>
      <c r="J211" s="32">
        <f t="shared" si="52"/>
        <v>63.855000000000011</v>
      </c>
      <c r="K211" s="32">
        <f t="shared" si="52"/>
        <v>64.845000000000013</v>
      </c>
      <c r="L211" s="32">
        <f t="shared" si="52"/>
        <v>65.835000000000008</v>
      </c>
      <c r="M211" s="32">
        <f t="shared" si="52"/>
        <v>66.825000000000003</v>
      </c>
      <c r="N211" s="32">
        <f t="shared" si="52"/>
        <v>67.814999999999998</v>
      </c>
      <c r="O211" s="32">
        <f t="shared" si="52"/>
        <v>68.805000000000007</v>
      </c>
      <c r="P211" s="32">
        <f t="shared" si="52"/>
        <v>69.795000000000002</v>
      </c>
      <c r="Q211" s="32">
        <f t="shared" si="52"/>
        <v>70.785000000000011</v>
      </c>
      <c r="R211" s="32">
        <f t="shared" si="52"/>
        <v>71.775000000000006</v>
      </c>
      <c r="S211" s="32">
        <f t="shared" si="51"/>
        <v>72.765000000000015</v>
      </c>
      <c r="T211" s="186">
        <f t="shared" si="51"/>
        <v>73.75500000000001</v>
      </c>
      <c r="U211" s="32">
        <f t="shared" si="51"/>
        <v>74.745000000000005</v>
      </c>
      <c r="V211" s="32">
        <f t="shared" si="51"/>
        <v>75.735000000000014</v>
      </c>
      <c r="W211" s="32">
        <f t="shared" si="51"/>
        <v>76.725000000000009</v>
      </c>
      <c r="X211" s="32">
        <f t="shared" si="51"/>
        <v>77.715000000000018</v>
      </c>
      <c r="Y211" s="32">
        <f t="shared" si="51"/>
        <v>78.704999999999998</v>
      </c>
      <c r="Z211" s="32">
        <f t="shared" si="51"/>
        <v>79.695000000000007</v>
      </c>
      <c r="AA211" s="32">
        <f t="shared" si="51"/>
        <v>80.685000000000016</v>
      </c>
      <c r="AB211" s="32">
        <f t="shared" si="51"/>
        <v>81.675000000000011</v>
      </c>
      <c r="AC211" s="32">
        <f t="shared" si="51"/>
        <v>82.665000000000006</v>
      </c>
      <c r="AD211" s="32">
        <f t="shared" si="51"/>
        <v>83.655000000000001</v>
      </c>
      <c r="AE211" s="32">
        <f t="shared" si="51"/>
        <v>84.64500000000001</v>
      </c>
      <c r="AF211" s="32">
        <f t="shared" si="51"/>
        <v>85.635000000000019</v>
      </c>
      <c r="AG211" s="32">
        <f t="shared" si="51"/>
        <v>86.625</v>
      </c>
      <c r="AH211" s="32">
        <f t="shared" si="50"/>
        <v>87.615000000000009</v>
      </c>
      <c r="AI211" s="32">
        <f t="shared" si="50"/>
        <v>88.605000000000004</v>
      </c>
      <c r="AJ211" s="32">
        <f t="shared" si="50"/>
        <v>89.595000000000013</v>
      </c>
      <c r="AK211" s="32">
        <f t="shared" si="50"/>
        <v>90.585000000000022</v>
      </c>
      <c r="AL211" s="32">
        <f t="shared" si="50"/>
        <v>91.575000000000003</v>
      </c>
      <c r="AM211" s="32">
        <f t="shared" si="49"/>
        <v>92.565000000000012</v>
      </c>
      <c r="AN211" s="32">
        <f t="shared" si="49"/>
        <v>93.555000000000007</v>
      </c>
      <c r="AO211" s="32">
        <f t="shared" si="49"/>
        <v>94.545000000000016</v>
      </c>
      <c r="AP211" s="32">
        <f t="shared" si="49"/>
        <v>95.535000000000011</v>
      </c>
      <c r="AQ211" s="32">
        <f t="shared" si="49"/>
        <v>96.525000000000006</v>
      </c>
      <c r="AR211" s="32">
        <f t="shared" si="49"/>
        <v>97.515000000000015</v>
      </c>
      <c r="AS211" s="32">
        <f t="shared" si="49"/>
        <v>98.50500000000001</v>
      </c>
      <c r="AT211" s="32">
        <f t="shared" si="49"/>
        <v>99.495000000000005</v>
      </c>
      <c r="AU211" s="32">
        <f t="shared" si="49"/>
        <v>100.48500000000001</v>
      </c>
      <c r="AV211" s="32">
        <f t="shared" si="49"/>
        <v>101.47500000000001</v>
      </c>
      <c r="AW211" s="32">
        <f t="shared" si="49"/>
        <v>102.46500000000002</v>
      </c>
      <c r="AX211" s="32">
        <f t="shared" si="49"/>
        <v>103.455</v>
      </c>
      <c r="AY211" s="32">
        <f t="shared" si="49"/>
        <v>104.44500000000001</v>
      </c>
      <c r="AZ211" s="32">
        <f t="shared" si="49"/>
        <v>105.43500000000002</v>
      </c>
      <c r="BA211" s="16"/>
    </row>
    <row r="212" spans="1:53" hidden="1" x14ac:dyDescent="0.25">
      <c r="A212" s="16"/>
      <c r="B212" s="31">
        <v>76</v>
      </c>
      <c r="C212" s="32">
        <f t="shared" si="52"/>
        <v>57.024000000000008</v>
      </c>
      <c r="D212" s="32">
        <f t="shared" si="52"/>
        <v>58.01400000000001</v>
      </c>
      <c r="E212" s="32">
        <f t="shared" si="52"/>
        <v>59.004000000000005</v>
      </c>
      <c r="F212" s="32">
        <f t="shared" si="52"/>
        <v>59.994000000000007</v>
      </c>
      <c r="G212" s="32">
        <f t="shared" si="52"/>
        <v>60.984000000000009</v>
      </c>
      <c r="H212" s="32">
        <f t="shared" si="52"/>
        <v>61.974000000000011</v>
      </c>
      <c r="I212" s="32">
        <f t="shared" si="52"/>
        <v>62.964000000000006</v>
      </c>
      <c r="J212" s="32">
        <f t="shared" si="52"/>
        <v>63.954000000000001</v>
      </c>
      <c r="K212" s="32">
        <f t="shared" si="52"/>
        <v>64.944000000000003</v>
      </c>
      <c r="L212" s="32">
        <f t="shared" si="52"/>
        <v>65.933999999999997</v>
      </c>
      <c r="M212" s="32">
        <f t="shared" si="52"/>
        <v>66.924000000000007</v>
      </c>
      <c r="N212" s="32">
        <f t="shared" si="52"/>
        <v>67.914000000000001</v>
      </c>
      <c r="O212" s="32">
        <f t="shared" si="52"/>
        <v>68.903999999999996</v>
      </c>
      <c r="P212" s="32">
        <f t="shared" si="52"/>
        <v>69.894000000000005</v>
      </c>
      <c r="Q212" s="32">
        <f t="shared" si="52"/>
        <v>70.884</v>
      </c>
      <c r="R212" s="32">
        <f t="shared" si="52"/>
        <v>71.874000000000009</v>
      </c>
      <c r="S212" s="32">
        <f t="shared" si="51"/>
        <v>72.864000000000004</v>
      </c>
      <c r="T212" s="186">
        <f t="shared" si="51"/>
        <v>73.854000000000013</v>
      </c>
      <c r="U212" s="32">
        <f t="shared" si="51"/>
        <v>74.843999999999994</v>
      </c>
      <c r="V212" s="32">
        <f t="shared" si="51"/>
        <v>75.834000000000003</v>
      </c>
      <c r="W212" s="32">
        <f t="shared" si="51"/>
        <v>76.824000000000012</v>
      </c>
      <c r="X212" s="32">
        <f t="shared" si="51"/>
        <v>77.814000000000007</v>
      </c>
      <c r="Y212" s="32">
        <f t="shared" si="51"/>
        <v>78.804000000000002</v>
      </c>
      <c r="Z212" s="32">
        <f t="shared" si="51"/>
        <v>79.793999999999997</v>
      </c>
      <c r="AA212" s="32">
        <f t="shared" si="51"/>
        <v>80.784000000000006</v>
      </c>
      <c r="AB212" s="32">
        <f t="shared" si="51"/>
        <v>81.774000000000015</v>
      </c>
      <c r="AC212" s="32">
        <f t="shared" si="51"/>
        <v>82.763999999999996</v>
      </c>
      <c r="AD212" s="32">
        <f t="shared" si="51"/>
        <v>83.754000000000005</v>
      </c>
      <c r="AE212" s="32">
        <f t="shared" si="51"/>
        <v>84.744</v>
      </c>
      <c r="AF212" s="32">
        <f t="shared" si="51"/>
        <v>85.734000000000009</v>
      </c>
      <c r="AG212" s="32">
        <f t="shared" si="51"/>
        <v>86.724000000000004</v>
      </c>
      <c r="AH212" s="32">
        <f t="shared" si="50"/>
        <v>87.713999999999999</v>
      </c>
      <c r="AI212" s="32">
        <f t="shared" si="50"/>
        <v>88.704000000000008</v>
      </c>
      <c r="AJ212" s="32">
        <f t="shared" si="50"/>
        <v>89.694000000000003</v>
      </c>
      <c r="AK212" s="32">
        <f t="shared" si="50"/>
        <v>90.684000000000012</v>
      </c>
      <c r="AL212" s="32">
        <f t="shared" si="50"/>
        <v>91.674000000000007</v>
      </c>
      <c r="AM212" s="32">
        <f t="shared" si="49"/>
        <v>92.664000000000001</v>
      </c>
      <c r="AN212" s="32">
        <f t="shared" si="49"/>
        <v>93.654000000000011</v>
      </c>
      <c r="AO212" s="32">
        <f t="shared" si="49"/>
        <v>94.644000000000005</v>
      </c>
      <c r="AP212" s="32">
        <f t="shared" si="49"/>
        <v>95.634</v>
      </c>
      <c r="AQ212" s="32">
        <f t="shared" si="49"/>
        <v>96.624000000000009</v>
      </c>
      <c r="AR212" s="32">
        <f t="shared" si="49"/>
        <v>97.614000000000004</v>
      </c>
      <c r="AS212" s="32">
        <f t="shared" si="49"/>
        <v>98.604000000000013</v>
      </c>
      <c r="AT212" s="32">
        <f t="shared" si="49"/>
        <v>99.593999999999994</v>
      </c>
      <c r="AU212" s="32">
        <f t="shared" si="49"/>
        <v>100.584</v>
      </c>
      <c r="AV212" s="32">
        <f t="shared" si="49"/>
        <v>101.57400000000001</v>
      </c>
      <c r="AW212" s="32">
        <f t="shared" si="49"/>
        <v>102.56400000000001</v>
      </c>
      <c r="AX212" s="32">
        <f t="shared" si="49"/>
        <v>103.554</v>
      </c>
      <c r="AY212" s="32">
        <f t="shared" si="49"/>
        <v>104.544</v>
      </c>
      <c r="AZ212" s="32">
        <f t="shared" si="49"/>
        <v>105.53400000000001</v>
      </c>
      <c r="BA212" s="16"/>
    </row>
    <row r="213" spans="1:53" hidden="1" x14ac:dyDescent="0.25">
      <c r="A213" s="16"/>
      <c r="B213" s="31">
        <v>77</v>
      </c>
      <c r="C213" s="32">
        <f t="shared" si="52"/>
        <v>57.123000000000012</v>
      </c>
      <c r="D213" s="32">
        <f t="shared" si="52"/>
        <v>58.113000000000014</v>
      </c>
      <c r="E213" s="32">
        <f t="shared" si="52"/>
        <v>59.103000000000009</v>
      </c>
      <c r="F213" s="32">
        <f t="shared" si="52"/>
        <v>60.093000000000011</v>
      </c>
      <c r="G213" s="32">
        <f t="shared" si="52"/>
        <v>61.083000000000006</v>
      </c>
      <c r="H213" s="32">
        <f t="shared" si="52"/>
        <v>62.073000000000015</v>
      </c>
      <c r="I213" s="32">
        <f t="shared" si="52"/>
        <v>63.063000000000009</v>
      </c>
      <c r="J213" s="32">
        <f t="shared" si="52"/>
        <v>64.053000000000011</v>
      </c>
      <c r="K213" s="32">
        <f t="shared" si="52"/>
        <v>65.043000000000006</v>
      </c>
      <c r="L213" s="32">
        <f t="shared" si="52"/>
        <v>66.033000000000001</v>
      </c>
      <c r="M213" s="32">
        <f t="shared" si="52"/>
        <v>67.02300000000001</v>
      </c>
      <c r="N213" s="32">
        <f t="shared" si="52"/>
        <v>68.013000000000005</v>
      </c>
      <c r="O213" s="32">
        <f t="shared" si="52"/>
        <v>69.003000000000014</v>
      </c>
      <c r="P213" s="32">
        <f t="shared" si="52"/>
        <v>69.993000000000009</v>
      </c>
      <c r="Q213" s="32">
        <f t="shared" si="52"/>
        <v>70.983000000000004</v>
      </c>
      <c r="R213" s="32">
        <f t="shared" si="52"/>
        <v>71.973000000000013</v>
      </c>
      <c r="S213" s="32">
        <f t="shared" si="51"/>
        <v>72.963000000000008</v>
      </c>
      <c r="T213" s="186">
        <f t="shared" si="51"/>
        <v>73.953000000000017</v>
      </c>
      <c r="U213" s="32">
        <f t="shared" si="51"/>
        <v>74.943000000000012</v>
      </c>
      <c r="V213" s="32">
        <f t="shared" si="51"/>
        <v>75.933000000000007</v>
      </c>
      <c r="W213" s="32">
        <f t="shared" si="51"/>
        <v>76.923000000000016</v>
      </c>
      <c r="X213" s="32">
        <f t="shared" si="51"/>
        <v>77.913000000000011</v>
      </c>
      <c r="Y213" s="32">
        <f t="shared" si="51"/>
        <v>78.903000000000006</v>
      </c>
      <c r="Z213" s="32">
        <f t="shared" si="51"/>
        <v>79.893000000000015</v>
      </c>
      <c r="AA213" s="32">
        <f t="shared" si="51"/>
        <v>80.88300000000001</v>
      </c>
      <c r="AB213" s="32">
        <f t="shared" si="51"/>
        <v>81.873000000000019</v>
      </c>
      <c r="AC213" s="32">
        <f t="shared" si="51"/>
        <v>82.863</v>
      </c>
      <c r="AD213" s="32">
        <f t="shared" si="51"/>
        <v>83.853000000000009</v>
      </c>
      <c r="AE213" s="32">
        <f t="shared" si="51"/>
        <v>84.843000000000018</v>
      </c>
      <c r="AF213" s="32">
        <f t="shared" si="51"/>
        <v>85.833000000000013</v>
      </c>
      <c r="AG213" s="32">
        <f t="shared" si="51"/>
        <v>86.823000000000008</v>
      </c>
      <c r="AH213" s="32">
        <f t="shared" si="50"/>
        <v>87.813000000000002</v>
      </c>
      <c r="AI213" s="32">
        <f t="shared" si="50"/>
        <v>88.803000000000011</v>
      </c>
      <c r="AJ213" s="32">
        <f t="shared" si="50"/>
        <v>89.793000000000021</v>
      </c>
      <c r="AK213" s="32">
        <f t="shared" si="50"/>
        <v>90.783000000000015</v>
      </c>
      <c r="AL213" s="32">
        <f t="shared" si="50"/>
        <v>91.77300000000001</v>
      </c>
      <c r="AM213" s="32">
        <f t="shared" si="49"/>
        <v>92.763000000000005</v>
      </c>
      <c r="AN213" s="32">
        <f t="shared" si="49"/>
        <v>93.753000000000014</v>
      </c>
      <c r="AO213" s="32">
        <f t="shared" si="49"/>
        <v>94.743000000000023</v>
      </c>
      <c r="AP213" s="32">
        <f t="shared" si="49"/>
        <v>95.733000000000004</v>
      </c>
      <c r="AQ213" s="32">
        <f t="shared" si="49"/>
        <v>96.723000000000013</v>
      </c>
      <c r="AR213" s="32">
        <f t="shared" si="49"/>
        <v>97.713000000000008</v>
      </c>
      <c r="AS213" s="32">
        <f t="shared" si="49"/>
        <v>98.703000000000017</v>
      </c>
      <c r="AT213" s="32">
        <f t="shared" si="49"/>
        <v>99.693000000000012</v>
      </c>
      <c r="AU213" s="32">
        <f t="shared" si="49"/>
        <v>100.68300000000001</v>
      </c>
      <c r="AV213" s="32">
        <f t="shared" si="49"/>
        <v>101.67300000000002</v>
      </c>
      <c r="AW213" s="32">
        <f t="shared" si="49"/>
        <v>102.66300000000001</v>
      </c>
      <c r="AX213" s="32">
        <f t="shared" si="49"/>
        <v>103.65300000000001</v>
      </c>
      <c r="AY213" s="32">
        <f t="shared" si="49"/>
        <v>104.64300000000001</v>
      </c>
      <c r="AZ213" s="32">
        <f t="shared" si="49"/>
        <v>105.63300000000001</v>
      </c>
      <c r="BA213" s="16"/>
    </row>
    <row r="214" spans="1:53" hidden="1" x14ac:dyDescent="0.25">
      <c r="A214" s="16"/>
      <c r="B214" s="31">
        <v>78</v>
      </c>
      <c r="C214" s="32">
        <f t="shared" si="52"/>
        <v>57.222000000000001</v>
      </c>
      <c r="D214" s="32">
        <f t="shared" si="52"/>
        <v>58.212000000000003</v>
      </c>
      <c r="E214" s="32">
        <f t="shared" si="52"/>
        <v>59.202000000000005</v>
      </c>
      <c r="F214" s="32">
        <f t="shared" si="52"/>
        <v>60.192</v>
      </c>
      <c r="G214" s="32">
        <f t="shared" si="52"/>
        <v>61.182000000000002</v>
      </c>
      <c r="H214" s="32">
        <f t="shared" si="52"/>
        <v>62.172000000000004</v>
      </c>
      <c r="I214" s="32">
        <f t="shared" si="52"/>
        <v>63.162000000000006</v>
      </c>
      <c r="J214" s="32">
        <f t="shared" si="52"/>
        <v>64.152000000000001</v>
      </c>
      <c r="K214" s="32">
        <f t="shared" si="52"/>
        <v>65.14200000000001</v>
      </c>
      <c r="L214" s="32">
        <f t="shared" si="52"/>
        <v>66.132000000000005</v>
      </c>
      <c r="M214" s="32">
        <f t="shared" si="52"/>
        <v>67.122</v>
      </c>
      <c r="N214" s="32">
        <f t="shared" si="52"/>
        <v>68.112000000000009</v>
      </c>
      <c r="O214" s="32">
        <f t="shared" si="52"/>
        <v>69.102000000000004</v>
      </c>
      <c r="P214" s="32">
        <f t="shared" si="52"/>
        <v>70.091999999999999</v>
      </c>
      <c r="Q214" s="32">
        <f t="shared" si="52"/>
        <v>71.082000000000008</v>
      </c>
      <c r="R214" s="32">
        <f t="shared" si="52"/>
        <v>72.072000000000003</v>
      </c>
      <c r="S214" s="32">
        <f t="shared" si="51"/>
        <v>73.062000000000012</v>
      </c>
      <c r="T214" s="186">
        <f t="shared" si="51"/>
        <v>74.051999999999992</v>
      </c>
      <c r="U214" s="32">
        <f t="shared" si="51"/>
        <v>75.042000000000002</v>
      </c>
      <c r="V214" s="32">
        <f t="shared" si="51"/>
        <v>76.032000000000011</v>
      </c>
      <c r="W214" s="32">
        <f t="shared" si="51"/>
        <v>77.022000000000006</v>
      </c>
      <c r="X214" s="32">
        <f t="shared" si="51"/>
        <v>78.012000000000015</v>
      </c>
      <c r="Y214" s="32">
        <f t="shared" si="51"/>
        <v>79.001999999999995</v>
      </c>
      <c r="Z214" s="32">
        <f t="shared" si="51"/>
        <v>79.992000000000004</v>
      </c>
      <c r="AA214" s="32">
        <f t="shared" si="51"/>
        <v>80.982000000000014</v>
      </c>
      <c r="AB214" s="32">
        <f t="shared" si="51"/>
        <v>81.972000000000008</v>
      </c>
      <c r="AC214" s="32">
        <f t="shared" si="51"/>
        <v>82.962000000000003</v>
      </c>
      <c r="AD214" s="32">
        <f t="shared" si="51"/>
        <v>83.951999999999998</v>
      </c>
      <c r="AE214" s="32">
        <f t="shared" si="51"/>
        <v>84.942000000000007</v>
      </c>
      <c r="AF214" s="32">
        <f t="shared" si="51"/>
        <v>85.932000000000016</v>
      </c>
      <c r="AG214" s="32">
        <f t="shared" si="51"/>
        <v>86.921999999999997</v>
      </c>
      <c r="AH214" s="32">
        <f t="shared" si="50"/>
        <v>87.912000000000006</v>
      </c>
      <c r="AI214" s="32">
        <f t="shared" si="50"/>
        <v>88.902000000000001</v>
      </c>
      <c r="AJ214" s="32">
        <f t="shared" si="50"/>
        <v>89.89200000000001</v>
      </c>
      <c r="AK214" s="32">
        <f t="shared" si="50"/>
        <v>90.882000000000019</v>
      </c>
      <c r="AL214" s="32">
        <f t="shared" si="50"/>
        <v>91.872</v>
      </c>
      <c r="AM214" s="32">
        <f t="shared" si="49"/>
        <v>92.862000000000009</v>
      </c>
      <c r="AN214" s="32">
        <f t="shared" si="49"/>
        <v>93.852000000000004</v>
      </c>
      <c r="AO214" s="32">
        <f t="shared" si="49"/>
        <v>94.842000000000013</v>
      </c>
      <c r="AP214" s="32">
        <f t="shared" si="49"/>
        <v>95.832000000000008</v>
      </c>
      <c r="AQ214" s="32">
        <f t="shared" si="49"/>
        <v>96.822000000000003</v>
      </c>
      <c r="AR214" s="32">
        <f t="shared" si="49"/>
        <v>97.812000000000012</v>
      </c>
      <c r="AS214" s="32">
        <f t="shared" si="49"/>
        <v>98.802000000000007</v>
      </c>
      <c r="AT214" s="32">
        <f t="shared" si="49"/>
        <v>99.792000000000002</v>
      </c>
      <c r="AU214" s="32">
        <f t="shared" si="49"/>
        <v>100.78200000000001</v>
      </c>
      <c r="AV214" s="32">
        <f t="shared" si="49"/>
        <v>101.77200000000001</v>
      </c>
      <c r="AW214" s="32">
        <f t="shared" si="49"/>
        <v>102.76200000000001</v>
      </c>
      <c r="AX214" s="32">
        <f t="shared" si="49"/>
        <v>103.752</v>
      </c>
      <c r="AY214" s="32">
        <f t="shared" si="49"/>
        <v>104.742</v>
      </c>
      <c r="AZ214" s="32">
        <f t="shared" si="49"/>
        <v>105.73200000000001</v>
      </c>
      <c r="BA214" s="16"/>
    </row>
    <row r="215" spans="1:53" hidden="1" x14ac:dyDescent="0.25">
      <c r="A215" s="16"/>
      <c r="B215" s="31">
        <v>79</v>
      </c>
      <c r="C215" s="32">
        <f t="shared" si="52"/>
        <v>57.321000000000005</v>
      </c>
      <c r="D215" s="32">
        <f t="shared" si="52"/>
        <v>58.311</v>
      </c>
      <c r="E215" s="32">
        <f t="shared" si="52"/>
        <v>59.301000000000002</v>
      </c>
      <c r="F215" s="32">
        <f t="shared" si="52"/>
        <v>60.291000000000004</v>
      </c>
      <c r="G215" s="32">
        <f t="shared" si="52"/>
        <v>61.281000000000006</v>
      </c>
      <c r="H215" s="32">
        <f t="shared" si="52"/>
        <v>62.271000000000008</v>
      </c>
      <c r="I215" s="32">
        <f t="shared" si="52"/>
        <v>63.261000000000003</v>
      </c>
      <c r="J215" s="32">
        <f t="shared" si="52"/>
        <v>64.251000000000005</v>
      </c>
      <c r="K215" s="32">
        <f t="shared" si="52"/>
        <v>65.241000000000014</v>
      </c>
      <c r="L215" s="32">
        <f t="shared" si="52"/>
        <v>66.231000000000009</v>
      </c>
      <c r="M215" s="32">
        <f t="shared" si="52"/>
        <v>67.221000000000018</v>
      </c>
      <c r="N215" s="32">
        <f t="shared" si="52"/>
        <v>68.211000000000013</v>
      </c>
      <c r="O215" s="32">
        <f t="shared" si="52"/>
        <v>69.201000000000008</v>
      </c>
      <c r="P215" s="32">
        <f t="shared" si="52"/>
        <v>70.191000000000017</v>
      </c>
      <c r="Q215" s="32">
        <f t="shared" si="52"/>
        <v>71.181000000000012</v>
      </c>
      <c r="R215" s="32">
        <f t="shared" si="52"/>
        <v>72.171000000000021</v>
      </c>
      <c r="S215" s="32">
        <f t="shared" si="51"/>
        <v>73.161000000000016</v>
      </c>
      <c r="T215" s="186">
        <f t="shared" si="51"/>
        <v>74.151000000000025</v>
      </c>
      <c r="U215" s="32">
        <f t="shared" si="51"/>
        <v>75.141000000000005</v>
      </c>
      <c r="V215" s="32">
        <f t="shared" si="51"/>
        <v>76.131000000000014</v>
      </c>
      <c r="W215" s="32">
        <f t="shared" si="51"/>
        <v>77.121000000000024</v>
      </c>
      <c r="X215" s="32">
        <f t="shared" si="51"/>
        <v>78.111000000000018</v>
      </c>
      <c r="Y215" s="32">
        <f t="shared" si="51"/>
        <v>79.101000000000013</v>
      </c>
      <c r="Z215" s="32">
        <f t="shared" si="51"/>
        <v>80.091000000000008</v>
      </c>
      <c r="AA215" s="32">
        <f t="shared" si="51"/>
        <v>81.081000000000017</v>
      </c>
      <c r="AB215" s="32">
        <f t="shared" si="51"/>
        <v>82.071000000000026</v>
      </c>
      <c r="AC215" s="32">
        <f t="shared" si="51"/>
        <v>83.061000000000007</v>
      </c>
      <c r="AD215" s="32">
        <f t="shared" si="51"/>
        <v>84.051000000000016</v>
      </c>
      <c r="AE215" s="32">
        <f t="shared" si="51"/>
        <v>85.041000000000011</v>
      </c>
      <c r="AF215" s="32">
        <f t="shared" si="51"/>
        <v>86.03100000000002</v>
      </c>
      <c r="AG215" s="32">
        <f t="shared" si="51"/>
        <v>87.021000000000015</v>
      </c>
      <c r="AH215" s="32">
        <f t="shared" si="50"/>
        <v>88.01100000000001</v>
      </c>
      <c r="AI215" s="32">
        <f t="shared" si="50"/>
        <v>89.001000000000019</v>
      </c>
      <c r="AJ215" s="32">
        <f t="shared" si="50"/>
        <v>89.991000000000014</v>
      </c>
      <c r="AK215" s="32">
        <f t="shared" si="50"/>
        <v>90.981000000000023</v>
      </c>
      <c r="AL215" s="32">
        <f t="shared" si="50"/>
        <v>91.971000000000018</v>
      </c>
      <c r="AM215" s="32">
        <f t="shared" si="49"/>
        <v>92.961000000000013</v>
      </c>
      <c r="AN215" s="32">
        <f t="shared" si="49"/>
        <v>93.951000000000022</v>
      </c>
      <c r="AO215" s="32">
        <f t="shared" si="49"/>
        <v>94.941000000000017</v>
      </c>
      <c r="AP215" s="32">
        <f t="shared" si="49"/>
        <v>95.931000000000012</v>
      </c>
      <c r="AQ215" s="32">
        <f t="shared" si="49"/>
        <v>96.921000000000021</v>
      </c>
      <c r="AR215" s="32">
        <f t="shared" si="49"/>
        <v>97.911000000000016</v>
      </c>
      <c r="AS215" s="32">
        <f t="shared" si="49"/>
        <v>98.901000000000025</v>
      </c>
      <c r="AT215" s="32">
        <f t="shared" si="49"/>
        <v>99.891000000000005</v>
      </c>
      <c r="AU215" s="32">
        <f t="shared" si="49"/>
        <v>100.88100000000001</v>
      </c>
      <c r="AV215" s="32">
        <f t="shared" si="49"/>
        <v>101.87100000000002</v>
      </c>
      <c r="AW215" s="32">
        <f t="shared" si="49"/>
        <v>102.86100000000002</v>
      </c>
      <c r="AX215" s="32">
        <f t="shared" si="49"/>
        <v>103.85100000000001</v>
      </c>
      <c r="AY215" s="32">
        <f t="shared" si="49"/>
        <v>104.84100000000001</v>
      </c>
      <c r="AZ215" s="32">
        <f t="shared" si="49"/>
        <v>105.83100000000002</v>
      </c>
      <c r="BA215" s="16"/>
    </row>
    <row r="216" spans="1:53" hidden="1" x14ac:dyDescent="0.25">
      <c r="A216" s="16"/>
      <c r="B216" s="31">
        <v>80</v>
      </c>
      <c r="C216" s="32">
        <f t="shared" si="52"/>
        <v>57.420000000000009</v>
      </c>
      <c r="D216" s="32">
        <f t="shared" si="52"/>
        <v>58.410000000000004</v>
      </c>
      <c r="E216" s="32">
        <f t="shared" si="52"/>
        <v>59.400000000000006</v>
      </c>
      <c r="F216" s="32">
        <f t="shared" si="52"/>
        <v>60.39</v>
      </c>
      <c r="G216" s="32">
        <f t="shared" si="52"/>
        <v>61.38000000000001</v>
      </c>
      <c r="H216" s="32">
        <f t="shared" si="52"/>
        <v>62.370000000000012</v>
      </c>
      <c r="I216" s="32">
        <f t="shared" si="52"/>
        <v>63.360000000000007</v>
      </c>
      <c r="J216" s="32">
        <f t="shared" si="52"/>
        <v>64.350000000000009</v>
      </c>
      <c r="K216" s="32">
        <f t="shared" si="52"/>
        <v>65.34</v>
      </c>
      <c r="L216" s="32">
        <f t="shared" si="52"/>
        <v>66.330000000000013</v>
      </c>
      <c r="M216" s="32">
        <f t="shared" si="52"/>
        <v>67.320000000000007</v>
      </c>
      <c r="N216" s="32">
        <f t="shared" si="52"/>
        <v>68.31</v>
      </c>
      <c r="O216" s="32">
        <f t="shared" si="52"/>
        <v>69.300000000000011</v>
      </c>
      <c r="P216" s="32">
        <f t="shared" si="52"/>
        <v>70.290000000000006</v>
      </c>
      <c r="Q216" s="32">
        <f t="shared" si="52"/>
        <v>71.28</v>
      </c>
      <c r="R216" s="32">
        <f t="shared" si="52"/>
        <v>72.27000000000001</v>
      </c>
      <c r="S216" s="32">
        <f t="shared" si="51"/>
        <v>73.260000000000019</v>
      </c>
      <c r="T216" s="186">
        <f t="shared" si="51"/>
        <v>74.25</v>
      </c>
      <c r="U216" s="32">
        <f t="shared" si="51"/>
        <v>75.240000000000009</v>
      </c>
      <c r="V216" s="32">
        <f t="shared" si="51"/>
        <v>76.23</v>
      </c>
      <c r="W216" s="32">
        <f t="shared" si="51"/>
        <v>77.220000000000013</v>
      </c>
      <c r="X216" s="32">
        <f t="shared" si="51"/>
        <v>78.210000000000022</v>
      </c>
      <c r="Y216" s="32">
        <f t="shared" si="51"/>
        <v>79.2</v>
      </c>
      <c r="Z216" s="32">
        <f t="shared" si="51"/>
        <v>80.190000000000012</v>
      </c>
      <c r="AA216" s="32">
        <f t="shared" si="51"/>
        <v>81.180000000000007</v>
      </c>
      <c r="AB216" s="32">
        <f t="shared" si="51"/>
        <v>82.170000000000016</v>
      </c>
      <c r="AC216" s="32">
        <f t="shared" si="51"/>
        <v>83.160000000000011</v>
      </c>
      <c r="AD216" s="32">
        <f t="shared" si="51"/>
        <v>84.15</v>
      </c>
      <c r="AE216" s="32">
        <f t="shared" si="51"/>
        <v>85.140000000000015</v>
      </c>
      <c r="AF216" s="32">
        <f t="shared" si="51"/>
        <v>86.13000000000001</v>
      </c>
      <c r="AG216" s="32">
        <f t="shared" si="51"/>
        <v>87.12</v>
      </c>
      <c r="AH216" s="32">
        <f t="shared" si="50"/>
        <v>88.110000000000014</v>
      </c>
      <c r="AI216" s="32">
        <f t="shared" si="50"/>
        <v>89.100000000000009</v>
      </c>
      <c r="AJ216" s="32">
        <f t="shared" si="50"/>
        <v>90.090000000000018</v>
      </c>
      <c r="AK216" s="32">
        <f t="shared" si="50"/>
        <v>91.08</v>
      </c>
      <c r="AL216" s="32">
        <f t="shared" si="50"/>
        <v>92.070000000000007</v>
      </c>
      <c r="AM216" s="32">
        <f t="shared" si="49"/>
        <v>93.060000000000016</v>
      </c>
      <c r="AN216" s="32">
        <f t="shared" si="49"/>
        <v>94.050000000000011</v>
      </c>
      <c r="AO216" s="32">
        <f t="shared" si="49"/>
        <v>95.04000000000002</v>
      </c>
      <c r="AP216" s="32">
        <f t="shared" si="49"/>
        <v>96.03</v>
      </c>
      <c r="AQ216" s="32">
        <f t="shared" si="49"/>
        <v>97.02000000000001</v>
      </c>
      <c r="AR216" s="32">
        <f t="shared" si="49"/>
        <v>98.010000000000019</v>
      </c>
      <c r="AS216" s="32">
        <f t="shared" si="49"/>
        <v>99.000000000000014</v>
      </c>
      <c r="AT216" s="32">
        <f t="shared" si="49"/>
        <v>99.990000000000009</v>
      </c>
      <c r="AU216" s="32">
        <f t="shared" ref="AU216:AZ216" si="53">(AU$16-100+$B216/10)*0.9*1.1</f>
        <v>100.98</v>
      </c>
      <c r="AV216" s="32">
        <f t="shared" si="53"/>
        <v>101.97000000000001</v>
      </c>
      <c r="AW216" s="32">
        <f t="shared" si="53"/>
        <v>102.96000000000002</v>
      </c>
      <c r="AX216" s="32">
        <f t="shared" si="53"/>
        <v>103.95</v>
      </c>
      <c r="AY216" s="32">
        <f t="shared" si="53"/>
        <v>104.94000000000001</v>
      </c>
      <c r="AZ216" s="32">
        <f t="shared" si="53"/>
        <v>105.93</v>
      </c>
      <c r="BA216" s="16"/>
    </row>
    <row r="217" spans="1:53" hidden="1" x14ac:dyDescent="0.25">
      <c r="A217" s="16"/>
      <c r="B217" s="16"/>
      <c r="C217" s="16"/>
      <c r="D217" s="16"/>
      <c r="E217" s="16"/>
      <c r="F217" s="16"/>
      <c r="G217" s="16"/>
      <c r="H217" s="16"/>
      <c r="I217" s="16"/>
      <c r="J217" s="16"/>
      <c r="K217" s="16"/>
      <c r="L217" s="16"/>
      <c r="M217" s="16"/>
      <c r="N217" s="16"/>
      <c r="O217" s="16"/>
      <c r="P217" s="16"/>
      <c r="Q217" s="16"/>
      <c r="R217" s="16"/>
      <c r="S217" s="16"/>
      <c r="T217" s="4"/>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row>
    <row r="218" spans="1:53" hidden="1" x14ac:dyDescent="0.25">
      <c r="A218" s="16"/>
      <c r="B218" s="16"/>
      <c r="C218" s="16"/>
      <c r="D218" s="16"/>
      <c r="E218" s="16"/>
      <c r="F218" s="16"/>
      <c r="G218" s="16"/>
      <c r="H218" s="16"/>
      <c r="I218" s="16"/>
      <c r="J218" s="16"/>
      <c r="K218" s="16"/>
      <c r="L218" s="16"/>
      <c r="M218" s="16"/>
      <c r="N218" s="16"/>
      <c r="O218" s="16"/>
      <c r="P218" s="16"/>
      <c r="Q218" s="16"/>
      <c r="R218" s="16"/>
      <c r="S218" s="16"/>
      <c r="T218" s="4"/>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row>
    <row r="219" spans="1:53" hidden="1" x14ac:dyDescent="0.25">
      <c r="T219" s="8"/>
    </row>
    <row r="220" spans="1:53" hidden="1" x14ac:dyDescent="0.25">
      <c r="T220" s="8"/>
    </row>
    <row r="221" spans="1:53" hidden="1" x14ac:dyDescent="0.25">
      <c r="T221" s="8"/>
    </row>
    <row r="222" spans="1:53" hidden="1" x14ac:dyDescent="0.25">
      <c r="T222" s="8"/>
    </row>
    <row r="223" spans="1:53" hidden="1" x14ac:dyDescent="0.25">
      <c r="T223" s="8"/>
    </row>
    <row r="224" spans="1:53" hidden="1" x14ac:dyDescent="0.25">
      <c r="T224" s="8"/>
    </row>
    <row r="225" spans="20:20" hidden="1" x14ac:dyDescent="0.25">
      <c r="T225" s="8"/>
    </row>
    <row r="226" spans="20:20" hidden="1" x14ac:dyDescent="0.25">
      <c r="T226" s="8"/>
    </row>
    <row r="227" spans="20:20" hidden="1" x14ac:dyDescent="0.25">
      <c r="T227" s="8"/>
    </row>
    <row r="228" spans="20:20" hidden="1" x14ac:dyDescent="0.25">
      <c r="T228" s="8"/>
    </row>
    <row r="229" spans="20:20" hidden="1" x14ac:dyDescent="0.25">
      <c r="T229" s="8"/>
    </row>
    <row r="230" spans="20:20" hidden="1" x14ac:dyDescent="0.25">
      <c r="T230" s="8"/>
    </row>
    <row r="231" spans="20:20" hidden="1" x14ac:dyDescent="0.25">
      <c r="T231" s="8"/>
    </row>
    <row r="232" spans="20:20" hidden="1" x14ac:dyDescent="0.25">
      <c r="T232" s="8"/>
    </row>
    <row r="233" spans="20:20" hidden="1" x14ac:dyDescent="0.25">
      <c r="T233" s="8"/>
    </row>
    <row r="234" spans="20:20" hidden="1" x14ac:dyDescent="0.25">
      <c r="T234" s="8"/>
    </row>
    <row r="235" spans="20:20" hidden="1" x14ac:dyDescent="0.25">
      <c r="T235" s="8"/>
    </row>
    <row r="236" spans="20:20" hidden="1" x14ac:dyDescent="0.25">
      <c r="T236" s="8"/>
    </row>
    <row r="237" spans="20:20" hidden="1" x14ac:dyDescent="0.25">
      <c r="T237" s="8"/>
    </row>
    <row r="238" spans="20:20" hidden="1" x14ac:dyDescent="0.25">
      <c r="T238" s="8"/>
    </row>
    <row r="239" spans="20:20" hidden="1" x14ac:dyDescent="0.25">
      <c r="T239" s="8"/>
    </row>
    <row r="240" spans="20:20" hidden="1" x14ac:dyDescent="0.25">
      <c r="T240" s="8"/>
    </row>
    <row r="241" spans="20:20" hidden="1" x14ac:dyDescent="0.25">
      <c r="T241" s="8"/>
    </row>
    <row r="242" spans="20:20" hidden="1" x14ac:dyDescent="0.25">
      <c r="T242" s="8"/>
    </row>
    <row r="243" spans="20:20" hidden="1" x14ac:dyDescent="0.25">
      <c r="T243" s="8"/>
    </row>
    <row r="244" spans="20:20" hidden="1" x14ac:dyDescent="0.25">
      <c r="T244" s="8"/>
    </row>
    <row r="245" spans="20:20" hidden="1" x14ac:dyDescent="0.25">
      <c r="T245" s="8"/>
    </row>
    <row r="246" spans="20:20" hidden="1" x14ac:dyDescent="0.25">
      <c r="T246" s="8"/>
    </row>
    <row r="247" spans="20:20" hidden="1" x14ac:dyDescent="0.25">
      <c r="T247" s="8"/>
    </row>
    <row r="248" spans="20:20" hidden="1" x14ac:dyDescent="0.25">
      <c r="T248" s="8"/>
    </row>
    <row r="249" spans="20:20" hidden="1" x14ac:dyDescent="0.25">
      <c r="T249" s="8"/>
    </row>
    <row r="250" spans="20:20" hidden="1" x14ac:dyDescent="0.25">
      <c r="T250" s="8"/>
    </row>
    <row r="251" spans="20:20" hidden="1" x14ac:dyDescent="0.25">
      <c r="T251" s="8"/>
    </row>
    <row r="252" spans="20:20" hidden="1" x14ac:dyDescent="0.25">
      <c r="T252" s="8"/>
    </row>
    <row r="253" spans="20:20" hidden="1" x14ac:dyDescent="0.25">
      <c r="T253" s="8"/>
    </row>
    <row r="254" spans="20:20" hidden="1" x14ac:dyDescent="0.25">
      <c r="T254" s="8"/>
    </row>
    <row r="255" spans="20:20" hidden="1" x14ac:dyDescent="0.25">
      <c r="T255" s="8"/>
    </row>
    <row r="256" spans="20:20" hidden="1" x14ac:dyDescent="0.25">
      <c r="T256" s="8"/>
    </row>
    <row r="257" spans="1:20" hidden="1" x14ac:dyDescent="0.25">
      <c r="T257" s="8"/>
    </row>
    <row r="258" spans="1:20" hidden="1" x14ac:dyDescent="0.25">
      <c r="T258" s="8"/>
    </row>
    <row r="259" spans="1:20" hidden="1" x14ac:dyDescent="0.25">
      <c r="T259" s="8"/>
    </row>
    <row r="260" spans="1:20" hidden="1" x14ac:dyDescent="0.25">
      <c r="T260" s="8"/>
    </row>
    <row r="261" spans="1:20" hidden="1" x14ac:dyDescent="0.25">
      <c r="T261" s="8"/>
    </row>
    <row r="262" spans="1:20" hidden="1" x14ac:dyDescent="0.25">
      <c r="T262" s="8"/>
    </row>
    <row r="263" spans="1:20" hidden="1" x14ac:dyDescent="0.25">
      <c r="T263" s="8"/>
    </row>
    <row r="264" spans="1:20" hidden="1" x14ac:dyDescent="0.25">
      <c r="T264" s="8"/>
    </row>
    <row r="265" spans="1:20" ht="15.75" thickBot="1" x14ac:dyDescent="0.3">
      <c r="T265" s="8"/>
    </row>
    <row r="266" spans="1:20" x14ac:dyDescent="0.25">
      <c r="A266" s="171" t="s">
        <v>346</v>
      </c>
      <c r="B266" s="203" t="s">
        <v>334</v>
      </c>
      <c r="C266" s="203"/>
      <c r="D266" s="203"/>
      <c r="T266" s="8"/>
    </row>
    <row r="267" spans="1:20" ht="15.75" thickBot="1" x14ac:dyDescent="0.3">
      <c r="A267" s="172"/>
      <c r="B267" s="173"/>
      <c r="C267" s="173"/>
      <c r="D267" s="174"/>
      <c r="T267" s="8"/>
    </row>
    <row r="268" spans="1:20" ht="15.75" thickBot="1" x14ac:dyDescent="0.3">
      <c r="A268" s="170" t="s">
        <v>335</v>
      </c>
      <c r="B268" s="202" t="s">
        <v>336</v>
      </c>
      <c r="C268" s="202"/>
      <c r="D268" s="202"/>
      <c r="T268" s="8"/>
    </row>
    <row r="269" spans="1:20" ht="15.75" thickBot="1" x14ac:dyDescent="0.3">
      <c r="A269" s="170" t="s">
        <v>337</v>
      </c>
      <c r="B269" s="202" t="s">
        <v>338</v>
      </c>
      <c r="C269" s="202"/>
      <c r="D269" s="202"/>
      <c r="T269" s="8"/>
    </row>
    <row r="270" spans="1:20" ht="15.75" thickBot="1" x14ac:dyDescent="0.3">
      <c r="A270" s="170" t="s">
        <v>339</v>
      </c>
      <c r="B270" s="202" t="s">
        <v>340</v>
      </c>
      <c r="C270" s="202"/>
      <c r="D270" s="202"/>
      <c r="T270" s="8"/>
    </row>
    <row r="271" spans="1:20" ht="15.75" thickBot="1" x14ac:dyDescent="0.3">
      <c r="A271" s="170" t="s">
        <v>341</v>
      </c>
      <c r="B271" s="202" t="s">
        <v>342</v>
      </c>
      <c r="C271" s="202"/>
      <c r="D271" s="202"/>
      <c r="T271" s="8"/>
    </row>
    <row r="272" spans="1:20" ht="15.75" thickBot="1" x14ac:dyDescent="0.3">
      <c r="A272" s="170" t="s">
        <v>347</v>
      </c>
      <c r="B272" s="202" t="s">
        <v>343</v>
      </c>
      <c r="C272" s="202"/>
      <c r="D272" s="202"/>
      <c r="T272" s="8"/>
    </row>
    <row r="273" spans="1:20" ht="15.75" thickBot="1" x14ac:dyDescent="0.3">
      <c r="A273" s="170" t="s">
        <v>344</v>
      </c>
      <c r="B273" s="202" t="s">
        <v>345</v>
      </c>
      <c r="C273" s="202"/>
      <c r="D273" s="202"/>
      <c r="T273" s="8"/>
    </row>
    <row r="274" spans="1:20" x14ac:dyDescent="0.25">
      <c r="T274" s="8"/>
    </row>
    <row r="275" spans="1:20" x14ac:dyDescent="0.25">
      <c r="T275" s="8"/>
    </row>
    <row r="276" spans="1:20" x14ac:dyDescent="0.25">
      <c r="A276" s="11" t="s">
        <v>348</v>
      </c>
      <c r="T276" s="8"/>
    </row>
    <row r="277" spans="1:20" x14ac:dyDescent="0.25">
      <c r="A277" s="8"/>
      <c r="T277" s="8"/>
    </row>
    <row r="278" spans="1:20" x14ac:dyDescent="0.25">
      <c r="A278" s="8" t="s">
        <v>349</v>
      </c>
      <c r="T278" s="8"/>
    </row>
    <row r="279" spans="1:20" x14ac:dyDescent="0.25">
      <c r="A279" s="8" t="s">
        <v>350</v>
      </c>
      <c r="T279" s="8"/>
    </row>
    <row r="280" spans="1:20" x14ac:dyDescent="0.25">
      <c r="A280" s="8" t="s">
        <v>351</v>
      </c>
    </row>
    <row r="281" spans="1:20" x14ac:dyDescent="0.25">
      <c r="A281" s="8"/>
    </row>
    <row r="282" spans="1:20" x14ac:dyDescent="0.25">
      <c r="A282" s="8" t="s">
        <v>352</v>
      </c>
    </row>
    <row r="284" spans="1:20" x14ac:dyDescent="0.25">
      <c r="A284" s="178" t="s">
        <v>353</v>
      </c>
    </row>
    <row r="285" spans="1:20" ht="105" x14ac:dyDescent="0.25">
      <c r="A285" s="181" t="s">
        <v>354</v>
      </c>
      <c r="C285" s="201" t="s">
        <v>378</v>
      </c>
      <c r="D285" s="201"/>
      <c r="E285" s="201"/>
      <c r="F285" s="201"/>
      <c r="G285" s="201"/>
      <c r="H285" s="201"/>
      <c r="I285" s="201"/>
      <c r="J285" s="201"/>
    </row>
    <row r="286" spans="1:20" x14ac:dyDescent="0.25">
      <c r="A286" s="182" t="s">
        <v>355</v>
      </c>
    </row>
    <row r="287" spans="1:20" x14ac:dyDescent="0.25">
      <c r="A287" s="7"/>
    </row>
    <row r="288" spans="1:20" x14ac:dyDescent="0.25">
      <c r="A288" s="7" t="s">
        <v>356</v>
      </c>
    </row>
    <row r="289" spans="1:1" x14ac:dyDescent="0.25">
      <c r="A289" s="7" t="s">
        <v>357</v>
      </c>
    </row>
    <row r="290" spans="1:1" x14ac:dyDescent="0.25">
      <c r="A290" s="7" t="s">
        <v>358</v>
      </c>
    </row>
    <row r="291" spans="1:1" x14ac:dyDescent="0.25">
      <c r="A291" s="7" t="s">
        <v>359</v>
      </c>
    </row>
    <row r="292" spans="1:1" x14ac:dyDescent="0.25">
      <c r="A292" s="183"/>
    </row>
    <row r="293" spans="1:1" x14ac:dyDescent="0.25">
      <c r="A293" s="182" t="s">
        <v>360</v>
      </c>
    </row>
    <row r="294" spans="1:1" x14ac:dyDescent="0.25">
      <c r="A294" s="7"/>
    </row>
    <row r="295" spans="1:1" x14ac:dyDescent="0.25">
      <c r="A295" s="7" t="s">
        <v>361</v>
      </c>
    </row>
    <row r="296" spans="1:1" x14ac:dyDescent="0.25">
      <c r="A296" s="7" t="s">
        <v>362</v>
      </c>
    </row>
    <row r="297" spans="1:1" x14ac:dyDescent="0.25">
      <c r="A297" s="183"/>
    </row>
    <row r="298" spans="1:1" x14ac:dyDescent="0.25">
      <c r="A298" s="182" t="s">
        <v>363</v>
      </c>
    </row>
    <row r="299" spans="1:1" x14ac:dyDescent="0.25">
      <c r="A299" s="7"/>
    </row>
    <row r="300" spans="1:1" x14ac:dyDescent="0.25">
      <c r="A300" s="7" t="s">
        <v>364</v>
      </c>
    </row>
    <row r="301" spans="1:1" x14ac:dyDescent="0.25">
      <c r="A301" s="7" t="s">
        <v>365</v>
      </c>
    </row>
    <row r="302" spans="1:1" x14ac:dyDescent="0.25">
      <c r="A302" s="7" t="s">
        <v>366</v>
      </c>
    </row>
    <row r="303" spans="1:1" x14ac:dyDescent="0.25">
      <c r="A303" s="7" t="s">
        <v>367</v>
      </c>
    </row>
    <row r="304" spans="1:1" x14ac:dyDescent="0.25">
      <c r="A304" s="183"/>
    </row>
    <row r="305" spans="1:1" x14ac:dyDescent="0.25">
      <c r="A305" s="182" t="s">
        <v>368</v>
      </c>
    </row>
    <row r="306" spans="1:1" x14ac:dyDescent="0.25">
      <c r="A306" s="7"/>
    </row>
    <row r="307" spans="1:1" x14ac:dyDescent="0.25">
      <c r="A307" s="7" t="s">
        <v>369</v>
      </c>
    </row>
    <row r="308" spans="1:1" x14ac:dyDescent="0.25">
      <c r="A308" s="7" t="s">
        <v>370</v>
      </c>
    </row>
    <row r="309" spans="1:1" x14ac:dyDescent="0.25">
      <c r="A309" s="183"/>
    </row>
    <row r="310" spans="1:1" x14ac:dyDescent="0.25">
      <c r="A310" s="182" t="s">
        <v>371</v>
      </c>
    </row>
    <row r="311" spans="1:1" x14ac:dyDescent="0.25">
      <c r="A311" s="7"/>
    </row>
    <row r="312" spans="1:1" x14ac:dyDescent="0.25">
      <c r="A312" s="7" t="s">
        <v>372</v>
      </c>
    </row>
    <row r="313" spans="1:1" x14ac:dyDescent="0.25">
      <c r="A313" s="7" t="s">
        <v>373</v>
      </c>
    </row>
    <row r="314" spans="1:1" x14ac:dyDescent="0.25">
      <c r="A314" s="7" t="s">
        <v>374</v>
      </c>
    </row>
    <row r="315" spans="1:1" x14ac:dyDescent="0.25">
      <c r="A315" s="7" t="s">
        <v>367</v>
      </c>
    </row>
    <row r="316" spans="1:1" x14ac:dyDescent="0.25">
      <c r="A316" s="183"/>
    </row>
    <row r="317" spans="1:1" x14ac:dyDescent="0.25">
      <c r="A317" s="182" t="s">
        <v>375</v>
      </c>
    </row>
    <row r="318" spans="1:1" x14ac:dyDescent="0.25">
      <c r="A318" s="7"/>
    </row>
    <row r="319" spans="1:1" x14ac:dyDescent="0.25">
      <c r="A319" s="7" t="s">
        <v>376</v>
      </c>
    </row>
    <row r="320" spans="1:1" x14ac:dyDescent="0.25">
      <c r="A320" s="7" t="s">
        <v>377</v>
      </c>
    </row>
    <row r="322" spans="1:7" x14ac:dyDescent="0.25">
      <c r="A322" s="59"/>
    </row>
    <row r="323" spans="1:7" x14ac:dyDescent="0.25">
      <c r="A323" s="179"/>
    </row>
    <row r="324" spans="1:7" x14ac:dyDescent="0.25">
      <c r="A324" s="180"/>
      <c r="B324" s="8"/>
      <c r="C324" s="8"/>
      <c r="D324" s="8"/>
      <c r="E324" s="8"/>
      <c r="F324" s="8"/>
      <c r="G324" s="8"/>
    </row>
    <row r="325" spans="1:7" x14ac:dyDescent="0.25">
      <c r="A325" s="180"/>
      <c r="B325" s="8"/>
      <c r="C325" s="8"/>
      <c r="D325" s="8"/>
      <c r="E325" s="8"/>
      <c r="F325" s="8"/>
      <c r="G325" s="8"/>
    </row>
    <row r="326" spans="1:7" x14ac:dyDescent="0.25">
      <c r="A326" s="180"/>
      <c r="B326" s="8"/>
      <c r="C326" s="8"/>
      <c r="D326" s="8"/>
      <c r="E326" s="8"/>
      <c r="F326" s="8"/>
      <c r="G326" s="8"/>
    </row>
    <row r="327" spans="1:7" x14ac:dyDescent="0.25">
      <c r="A327" s="180"/>
      <c r="B327" s="8"/>
      <c r="C327" s="8"/>
      <c r="D327" s="8"/>
      <c r="E327" s="8"/>
      <c r="F327" s="8"/>
      <c r="G327" s="8"/>
    </row>
    <row r="328" spans="1:7" x14ac:dyDescent="0.25">
      <c r="A328" s="180"/>
      <c r="B328" s="8"/>
      <c r="C328" s="8"/>
      <c r="D328" s="8"/>
      <c r="E328" s="8"/>
      <c r="F328" s="8"/>
      <c r="G328" s="8"/>
    </row>
  </sheetData>
  <sheetProtection algorithmName="SHA-512" hashValue="0lF+v8BMTecMGzgq+jTfG4OCKJlZnCkfVgNrM1WB0I++9I2Ue+tPfpWRT+y9kBsK7f7GEnyGcBVzVxAcSAwtFg==" saltValue="mHMIrFNAajIvnLdbq7MuXw==" spinCount="100000" sheet="1" objects="1" scenarios="1"/>
  <mergeCells count="9">
    <mergeCell ref="A1:E1"/>
    <mergeCell ref="C285:J285"/>
    <mergeCell ref="B271:D271"/>
    <mergeCell ref="B272:D272"/>
    <mergeCell ref="B273:D273"/>
    <mergeCell ref="B266:D266"/>
    <mergeCell ref="B268:D268"/>
    <mergeCell ref="B269:D269"/>
    <mergeCell ref="B270:D270"/>
  </mergeCells>
  <hyperlinks>
    <hyperlink ref="C285" r:id="rId1" xr:uid="{D5BCECD4-F9CA-46D4-8330-366020227F24}"/>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AO877"/>
  <sheetViews>
    <sheetView workbookViewId="0">
      <selection activeCell="C4" sqref="C4"/>
    </sheetView>
  </sheetViews>
  <sheetFormatPr baseColWidth="10" defaultRowHeight="15" x14ac:dyDescent="0.25"/>
  <cols>
    <col min="1" max="1" width="40.28515625" style="1" customWidth="1"/>
    <col min="2" max="3" width="11.42578125" style="1"/>
    <col min="4" max="4" width="16.85546875" style="1" bestFit="1" customWidth="1"/>
    <col min="5" max="7" width="11.42578125" style="1"/>
    <col min="8" max="8" width="12.28515625" style="8" customWidth="1"/>
    <col min="9" max="11" width="11.42578125" style="62" hidden="1" customWidth="1"/>
    <col min="12" max="12" width="11.42578125" style="8"/>
    <col min="13" max="13" width="11.42578125" style="1"/>
    <col min="14" max="14" width="24.5703125" customWidth="1"/>
    <col min="21" max="41" width="11.42578125" style="1"/>
  </cols>
  <sheetData>
    <row r="1" spans="1:20" ht="15.75" thickBot="1" x14ac:dyDescent="0.3">
      <c r="A1" s="82" t="s">
        <v>162</v>
      </c>
      <c r="B1" s="84"/>
      <c r="C1" s="84"/>
      <c r="D1" s="84"/>
      <c r="E1" s="84"/>
      <c r="F1" s="84"/>
      <c r="I1" s="62" t="s">
        <v>7</v>
      </c>
      <c r="J1" s="62" t="s">
        <v>8</v>
      </c>
      <c r="K1" s="62" t="s">
        <v>9</v>
      </c>
      <c r="N1" s="206" t="s">
        <v>92</v>
      </c>
      <c r="O1" s="206"/>
      <c r="P1" s="206"/>
      <c r="Q1" s="206"/>
      <c r="R1" s="206"/>
      <c r="S1" s="206"/>
      <c r="T1" s="206"/>
    </row>
    <row r="2" spans="1:20" ht="15.75" thickBot="1" x14ac:dyDescent="0.3">
      <c r="A2" s="82" t="s">
        <v>268</v>
      </c>
      <c r="B2" s="84"/>
      <c r="C2" s="84"/>
      <c r="D2" s="84"/>
      <c r="E2" s="84"/>
      <c r="F2" s="84"/>
      <c r="N2" s="37" t="s">
        <v>76</v>
      </c>
      <c r="O2" s="37" t="s">
        <v>43</v>
      </c>
      <c r="P2" s="37" t="s">
        <v>44</v>
      </c>
      <c r="Q2" s="37" t="s">
        <v>45</v>
      </c>
      <c r="R2" s="37" t="s">
        <v>46</v>
      </c>
      <c r="S2" s="37" t="s">
        <v>47</v>
      </c>
      <c r="T2" s="37" t="s">
        <v>48</v>
      </c>
    </row>
    <row r="3" spans="1:20" ht="15.75" thickBot="1" x14ac:dyDescent="0.3">
      <c r="A3" s="83" t="s">
        <v>129</v>
      </c>
      <c r="B3" s="84"/>
      <c r="C3" s="84"/>
      <c r="D3" s="85"/>
      <c r="E3" s="84"/>
      <c r="F3" s="84"/>
      <c r="I3" s="62" t="s">
        <v>10</v>
      </c>
      <c r="J3" s="62" t="s">
        <v>22</v>
      </c>
      <c r="K3" s="99" t="s">
        <v>29</v>
      </c>
      <c r="N3" s="38" t="s">
        <v>49</v>
      </c>
      <c r="O3" s="39" t="s">
        <v>50</v>
      </c>
      <c r="P3" s="39" t="s">
        <v>51</v>
      </c>
      <c r="Q3" s="39" t="s">
        <v>52</v>
      </c>
      <c r="R3" s="39" t="s">
        <v>53</v>
      </c>
      <c r="S3" s="39" t="s">
        <v>54</v>
      </c>
      <c r="T3" s="39" t="s">
        <v>55</v>
      </c>
    </row>
    <row r="4" spans="1:20" ht="15.75" thickBot="1" x14ac:dyDescent="0.3">
      <c r="A4" s="81" t="s">
        <v>7</v>
      </c>
      <c r="B4" s="36"/>
      <c r="D4" s="81" t="s">
        <v>160</v>
      </c>
      <c r="E4" s="36"/>
      <c r="F4" s="58"/>
      <c r="I4" s="99" t="s">
        <v>11</v>
      </c>
      <c r="J4" s="99" t="s">
        <v>23</v>
      </c>
      <c r="K4" s="99" t="s">
        <v>30</v>
      </c>
      <c r="N4" s="40" t="s">
        <v>56</v>
      </c>
      <c r="O4" s="41" t="s">
        <v>57</v>
      </c>
      <c r="P4" s="41" t="s">
        <v>58</v>
      </c>
      <c r="Q4" s="41" t="s">
        <v>59</v>
      </c>
      <c r="R4" s="41" t="s">
        <v>60</v>
      </c>
      <c r="S4" s="41" t="s">
        <v>61</v>
      </c>
      <c r="T4" s="41" t="s">
        <v>62</v>
      </c>
    </row>
    <row r="5" spans="1:20" ht="15.75" thickBot="1" x14ac:dyDescent="0.3">
      <c r="A5" s="81" t="s">
        <v>8</v>
      </c>
      <c r="B5" s="36"/>
      <c r="D5" s="81" t="s">
        <v>161</v>
      </c>
      <c r="E5" s="36"/>
      <c r="F5" s="58"/>
      <c r="I5" s="99" t="s">
        <v>12</v>
      </c>
      <c r="J5" s="99" t="s">
        <v>24</v>
      </c>
      <c r="K5" s="99" t="s">
        <v>31</v>
      </c>
      <c r="N5" s="42" t="s">
        <v>63</v>
      </c>
      <c r="O5" s="43" t="s">
        <v>64</v>
      </c>
      <c r="P5" s="43" t="s">
        <v>45</v>
      </c>
      <c r="Q5" s="43" t="s">
        <v>65</v>
      </c>
      <c r="R5" s="43" t="s">
        <v>66</v>
      </c>
      <c r="S5" s="43" t="s">
        <v>67</v>
      </c>
      <c r="T5" s="43" t="s">
        <v>68</v>
      </c>
    </row>
    <row r="6" spans="1:20" ht="15.75" thickBot="1" x14ac:dyDescent="0.3">
      <c r="A6" s="81" t="s">
        <v>301</v>
      </c>
      <c r="B6" s="36"/>
      <c r="I6" s="99" t="s">
        <v>13</v>
      </c>
      <c r="J6" s="99" t="s">
        <v>25</v>
      </c>
      <c r="K6" s="99" t="s">
        <v>32</v>
      </c>
      <c r="N6" s="44" t="s">
        <v>69</v>
      </c>
      <c r="O6" s="45" t="s">
        <v>70</v>
      </c>
      <c r="P6" s="45" t="s">
        <v>71</v>
      </c>
      <c r="Q6" s="45" t="s">
        <v>72</v>
      </c>
      <c r="R6" s="46" t="s">
        <v>12</v>
      </c>
      <c r="S6" s="46" t="s">
        <v>88</v>
      </c>
      <c r="T6" s="46" t="s">
        <v>89</v>
      </c>
    </row>
    <row r="7" spans="1:20" ht="15.75" thickBot="1" x14ac:dyDescent="0.3">
      <c r="A7" s="81" t="s">
        <v>158</v>
      </c>
      <c r="B7" s="36"/>
      <c r="I7" s="99" t="s">
        <v>14</v>
      </c>
      <c r="J7" s="99" t="s">
        <v>26</v>
      </c>
      <c r="K7" s="99" t="s">
        <v>33</v>
      </c>
      <c r="N7" s="47" t="s">
        <v>73</v>
      </c>
      <c r="O7" s="48" t="s">
        <v>83</v>
      </c>
      <c r="P7" s="48" t="s">
        <v>84</v>
      </c>
      <c r="Q7" s="49" t="s">
        <v>85</v>
      </c>
      <c r="R7" s="49" t="s">
        <v>11</v>
      </c>
      <c r="S7" s="49" t="s">
        <v>86</v>
      </c>
      <c r="T7" s="49" t="s">
        <v>87</v>
      </c>
    </row>
    <row r="8" spans="1:20" ht="15.75" thickBot="1" x14ac:dyDescent="0.3">
      <c r="A8" s="81" t="s">
        <v>157</v>
      </c>
      <c r="B8" s="36"/>
      <c r="I8" s="99" t="s">
        <v>15</v>
      </c>
      <c r="J8" s="99" t="s">
        <v>27</v>
      </c>
      <c r="K8" s="99" t="s">
        <v>34</v>
      </c>
      <c r="N8" s="50" t="s">
        <v>91</v>
      </c>
      <c r="O8" s="51" t="s">
        <v>77</v>
      </c>
      <c r="P8" s="51" t="s">
        <v>78</v>
      </c>
      <c r="Q8" s="51" t="s">
        <v>79</v>
      </c>
      <c r="R8" s="51" t="s">
        <v>80</v>
      </c>
      <c r="S8" s="51" t="s">
        <v>81</v>
      </c>
      <c r="T8" s="51" t="s">
        <v>82</v>
      </c>
    </row>
    <row r="9" spans="1:20" ht="15.75" thickBot="1" x14ac:dyDescent="0.3">
      <c r="A9" s="207" t="str">
        <f>IF(B4=I3,"Note pour les pompes","")</f>
        <v/>
      </c>
      <c r="B9" s="207"/>
      <c r="C9" s="207"/>
      <c r="I9" s="99" t="s">
        <v>16</v>
      </c>
      <c r="J9" s="99" t="s">
        <v>13</v>
      </c>
      <c r="K9" s="99" t="s">
        <v>35</v>
      </c>
      <c r="N9" s="52" t="s">
        <v>90</v>
      </c>
      <c r="O9" s="53" t="s">
        <v>74</v>
      </c>
      <c r="P9" s="53" t="s">
        <v>74</v>
      </c>
      <c r="Q9" s="53" t="s">
        <v>75</v>
      </c>
      <c r="R9" s="53">
        <v>0</v>
      </c>
      <c r="S9" s="53">
        <v>0</v>
      </c>
      <c r="T9" s="53">
        <v>0</v>
      </c>
    </row>
    <row r="10" spans="1:20" ht="75" customHeight="1" x14ac:dyDescent="0.25">
      <c r="A10" s="205" t="str">
        <f>IF(B4=I3,"Si vous n'arrivez pas à faire minimum 3 pompes, veuillez vous renforcer en pratiquant l'exercice : pompes sur genoux, en suivant la même logique que pour les pompes classiques. Si c'est encore trop difficile, faites des pompes debout contre un mur.","")</f>
        <v/>
      </c>
      <c r="B10" s="205"/>
      <c r="C10" s="205"/>
      <c r="I10" s="99" t="s">
        <v>17</v>
      </c>
      <c r="J10" s="99" t="s">
        <v>14</v>
      </c>
      <c r="K10" s="99" t="s">
        <v>36</v>
      </c>
      <c r="N10" s="1"/>
      <c r="O10" s="1"/>
      <c r="P10" s="1"/>
      <c r="Q10" s="1"/>
      <c r="R10" s="1"/>
      <c r="S10" s="1"/>
      <c r="T10" s="1"/>
    </row>
    <row r="11" spans="1:20" ht="15.75" thickBot="1" x14ac:dyDescent="0.3">
      <c r="A11" s="205"/>
      <c r="B11" s="205"/>
      <c r="C11" s="205"/>
      <c r="I11" s="99" t="s">
        <v>18</v>
      </c>
      <c r="J11" s="99" t="s">
        <v>15</v>
      </c>
      <c r="K11" s="99" t="s">
        <v>37</v>
      </c>
      <c r="N11" s="206" t="s">
        <v>93</v>
      </c>
      <c r="O11" s="206"/>
      <c r="P11" s="206"/>
      <c r="Q11" s="206"/>
      <c r="R11" s="206"/>
      <c r="S11" s="206"/>
      <c r="T11" s="206"/>
    </row>
    <row r="12" spans="1:20" ht="15.75" thickBot="1" x14ac:dyDescent="0.3">
      <c r="A12" s="205" t="str">
        <f>IF(B4=I3,"Faites le mouvement le plus lentement possible. Après quelques séances, retenter le test des pompes, pour voir si vous pouvez faire des pompes classiques.","")</f>
        <v/>
      </c>
      <c r="B12" s="205"/>
      <c r="C12" s="205"/>
      <c r="I12" s="99" t="s">
        <v>19</v>
      </c>
      <c r="J12" s="99" t="s">
        <v>16</v>
      </c>
      <c r="K12" s="99" t="s">
        <v>38</v>
      </c>
      <c r="N12" s="37" t="s">
        <v>76</v>
      </c>
      <c r="O12" s="37" t="s">
        <v>43</v>
      </c>
      <c r="P12" s="37" t="s">
        <v>44</v>
      </c>
      <c r="Q12" s="37" t="s">
        <v>45</v>
      </c>
      <c r="R12" s="37" t="s">
        <v>46</v>
      </c>
      <c r="S12" s="37" t="s">
        <v>47</v>
      </c>
      <c r="T12" s="37" t="s">
        <v>48</v>
      </c>
    </row>
    <row r="13" spans="1:20" ht="30.75" customHeight="1" thickBot="1" x14ac:dyDescent="0.3">
      <c r="A13" s="205"/>
      <c r="B13" s="205"/>
      <c r="C13" s="205"/>
      <c r="I13" s="99" t="s">
        <v>20</v>
      </c>
      <c r="J13" s="99" t="s">
        <v>28</v>
      </c>
      <c r="K13" s="99" t="s">
        <v>39</v>
      </c>
      <c r="N13" s="38" t="s">
        <v>49</v>
      </c>
      <c r="O13" s="39" t="s">
        <v>55</v>
      </c>
      <c r="P13" s="39" t="s">
        <v>94</v>
      </c>
      <c r="Q13" s="39" t="s">
        <v>95</v>
      </c>
      <c r="R13" s="39" t="s">
        <v>96</v>
      </c>
      <c r="S13" s="39" t="s">
        <v>97</v>
      </c>
      <c r="T13" s="39" t="s">
        <v>98</v>
      </c>
    </row>
    <row r="14" spans="1:20" ht="15.75" thickBot="1" x14ac:dyDescent="0.3">
      <c r="A14" s="207" t="str">
        <f>IF(B5=J3,"Note pour les tractions","")</f>
        <v/>
      </c>
      <c r="B14" s="207"/>
      <c r="C14" s="207"/>
      <c r="I14" s="99" t="s">
        <v>21</v>
      </c>
      <c r="K14" s="99" t="s">
        <v>40</v>
      </c>
      <c r="N14" s="40" t="s">
        <v>56</v>
      </c>
      <c r="O14" s="41" t="s">
        <v>99</v>
      </c>
      <c r="P14" s="41" t="s">
        <v>100</v>
      </c>
      <c r="Q14" s="41" t="s">
        <v>66</v>
      </c>
      <c r="R14" s="41" t="s">
        <v>101</v>
      </c>
      <c r="S14" s="41" t="s">
        <v>102</v>
      </c>
      <c r="T14" s="54" t="s">
        <v>109</v>
      </c>
    </row>
    <row r="15" spans="1:20" ht="15.75" thickBot="1" x14ac:dyDescent="0.3">
      <c r="A15" s="204" t="str">
        <f>IF(B5=J3,"TRAVAIL EN EXCENTRIQUE.","")</f>
        <v/>
      </c>
      <c r="B15" s="204"/>
      <c r="C15" s="204"/>
      <c r="K15" s="99" t="s">
        <v>41</v>
      </c>
      <c r="N15" s="42" t="s">
        <v>63</v>
      </c>
      <c r="O15" s="55" t="s">
        <v>105</v>
      </c>
      <c r="P15" s="55" t="s">
        <v>103</v>
      </c>
      <c r="Q15" s="55" t="s">
        <v>104</v>
      </c>
      <c r="R15" s="55" t="s">
        <v>106</v>
      </c>
      <c r="S15" s="55" t="s">
        <v>107</v>
      </c>
      <c r="T15" s="55" t="s">
        <v>108</v>
      </c>
    </row>
    <row r="16" spans="1:20" ht="15.75" thickBot="1" x14ac:dyDescent="0.3">
      <c r="A16" s="61" t="str">
        <f>IF(B5=J3,"https://www.youtube.com/watch?v=bQygjApp2Ew&amp;t=0s","")</f>
        <v/>
      </c>
      <c r="B16" s="62"/>
      <c r="C16" s="62"/>
      <c r="K16" s="99" t="s">
        <v>42</v>
      </c>
      <c r="N16" s="44" t="s">
        <v>69</v>
      </c>
      <c r="O16" s="56" t="s">
        <v>110</v>
      </c>
      <c r="P16" s="56" t="s">
        <v>111</v>
      </c>
      <c r="Q16" s="56" t="s">
        <v>112</v>
      </c>
      <c r="R16" s="46" t="s">
        <v>113</v>
      </c>
      <c r="S16" s="46" t="s">
        <v>114</v>
      </c>
      <c r="T16" s="46" t="s">
        <v>87</v>
      </c>
    </row>
    <row r="17" spans="1:20" ht="15.75" thickBot="1" x14ac:dyDescent="0.3">
      <c r="A17" s="62"/>
      <c r="B17" s="62"/>
      <c r="C17" s="62"/>
      <c r="N17" s="47" t="s">
        <v>73</v>
      </c>
      <c r="O17" s="48" t="s">
        <v>115</v>
      </c>
      <c r="P17" s="48" t="s">
        <v>86</v>
      </c>
      <c r="Q17" s="49" t="s">
        <v>116</v>
      </c>
      <c r="R17" s="49" t="s">
        <v>117</v>
      </c>
      <c r="S17" s="49" t="s">
        <v>118</v>
      </c>
      <c r="T17" s="49" t="s">
        <v>119</v>
      </c>
    </row>
    <row r="18" spans="1:20" ht="15.75" thickBot="1" x14ac:dyDescent="0.3">
      <c r="A18" s="62"/>
      <c r="B18" s="62"/>
      <c r="C18" s="62"/>
      <c r="N18" s="50" t="s">
        <v>91</v>
      </c>
      <c r="O18" s="51" t="s">
        <v>120</v>
      </c>
      <c r="P18" s="51" t="s">
        <v>81</v>
      </c>
      <c r="Q18" s="51" t="s">
        <v>82</v>
      </c>
      <c r="R18" s="51" t="s">
        <v>121</v>
      </c>
      <c r="S18" s="51" t="s">
        <v>121</v>
      </c>
      <c r="T18" s="51" t="s">
        <v>121</v>
      </c>
    </row>
    <row r="19" spans="1:20" ht="15.75" thickBot="1" x14ac:dyDescent="0.3">
      <c r="A19" s="34" t="s">
        <v>177</v>
      </c>
      <c r="N19" s="52" t="s">
        <v>90</v>
      </c>
      <c r="O19" s="57" t="s">
        <v>122</v>
      </c>
      <c r="P19" s="57" t="s">
        <v>122</v>
      </c>
      <c r="Q19" s="57" t="s">
        <v>122</v>
      </c>
      <c r="R19" s="57" t="s">
        <v>122</v>
      </c>
      <c r="S19" s="57" t="s">
        <v>122</v>
      </c>
      <c r="T19" s="53">
        <v>0</v>
      </c>
    </row>
    <row r="20" spans="1:20" x14ac:dyDescent="0.25">
      <c r="N20" s="1"/>
      <c r="O20" s="1"/>
      <c r="P20" s="1"/>
      <c r="Q20" s="1"/>
      <c r="R20" s="1"/>
      <c r="S20" s="1"/>
      <c r="T20" s="1"/>
    </row>
    <row r="21" spans="1:20" x14ac:dyDescent="0.25">
      <c r="N21" s="35"/>
      <c r="O21" s="35"/>
      <c r="P21" s="35"/>
      <c r="Q21" s="35"/>
      <c r="R21" s="35"/>
      <c r="S21" s="35"/>
      <c r="T21" s="35"/>
    </row>
    <row r="22" spans="1:20" x14ac:dyDescent="0.25">
      <c r="N22" s="35"/>
      <c r="O22" s="35"/>
      <c r="P22" s="35"/>
      <c r="Q22" s="35"/>
      <c r="R22" s="35"/>
      <c r="S22" s="35"/>
      <c r="T22" s="35"/>
    </row>
    <row r="23" spans="1:20" x14ac:dyDescent="0.25">
      <c r="N23" s="35"/>
      <c r="O23" s="35"/>
      <c r="P23" s="35"/>
      <c r="Q23" s="35"/>
      <c r="R23" s="35"/>
      <c r="S23" s="35"/>
      <c r="T23" s="35"/>
    </row>
    <row r="24" spans="1:20" x14ac:dyDescent="0.25">
      <c r="N24" s="35"/>
      <c r="O24" s="35"/>
      <c r="P24" s="35"/>
      <c r="Q24" s="35"/>
      <c r="R24" s="35"/>
      <c r="S24" s="35"/>
      <c r="T24" s="35"/>
    </row>
    <row r="25" spans="1:20" x14ac:dyDescent="0.25">
      <c r="N25" s="35"/>
      <c r="O25" s="35"/>
      <c r="P25" s="35"/>
      <c r="Q25" s="35"/>
      <c r="R25" s="35"/>
      <c r="S25" s="35"/>
      <c r="T25" s="35"/>
    </row>
    <row r="26" spans="1:20" x14ac:dyDescent="0.25">
      <c r="N26" s="35"/>
      <c r="O26" s="35"/>
      <c r="P26" s="35"/>
      <c r="Q26" s="35"/>
      <c r="R26" s="35"/>
      <c r="S26" s="35"/>
      <c r="T26" s="35"/>
    </row>
    <row r="27" spans="1:20" x14ac:dyDescent="0.25">
      <c r="N27" s="35"/>
      <c r="O27" s="35"/>
      <c r="P27" s="35"/>
      <c r="Q27" s="35"/>
      <c r="R27" s="35"/>
      <c r="S27" s="35"/>
      <c r="T27" s="35"/>
    </row>
    <row r="28" spans="1:20" x14ac:dyDescent="0.25">
      <c r="N28" s="35"/>
      <c r="O28" s="35"/>
      <c r="P28" s="35"/>
      <c r="Q28" s="35"/>
      <c r="R28" s="35"/>
      <c r="S28" s="35"/>
      <c r="T28" s="35"/>
    </row>
    <row r="29" spans="1:20" x14ac:dyDescent="0.25">
      <c r="N29" s="35"/>
      <c r="O29" s="35"/>
      <c r="P29" s="35"/>
      <c r="Q29" s="35"/>
      <c r="R29" s="35"/>
      <c r="S29" s="35"/>
      <c r="T29" s="35"/>
    </row>
    <row r="30" spans="1:20" x14ac:dyDescent="0.25">
      <c r="N30" s="35"/>
      <c r="O30" s="35"/>
      <c r="P30" s="35"/>
      <c r="Q30" s="35"/>
      <c r="R30" s="35"/>
      <c r="S30" s="35"/>
      <c r="T30" s="35"/>
    </row>
    <row r="31" spans="1:20" x14ac:dyDescent="0.25">
      <c r="N31" s="35"/>
      <c r="O31" s="35"/>
      <c r="P31" s="35"/>
      <c r="Q31" s="35"/>
      <c r="R31" s="35"/>
      <c r="S31" s="35"/>
      <c r="T31" s="35"/>
    </row>
    <row r="32" spans="1:20" x14ac:dyDescent="0.25">
      <c r="N32" s="35"/>
      <c r="O32" s="35"/>
      <c r="P32" s="35"/>
      <c r="Q32" s="35"/>
      <c r="R32" s="35"/>
      <c r="S32" s="35"/>
      <c r="T32" s="35"/>
    </row>
    <row r="33" spans="14:20" x14ac:dyDescent="0.25">
      <c r="N33" s="1"/>
      <c r="O33" s="1"/>
      <c r="P33" s="1"/>
      <c r="Q33" s="1"/>
      <c r="R33" s="1"/>
      <c r="S33" s="1"/>
      <c r="T33" s="1"/>
    </row>
    <row r="34" spans="14:20" x14ac:dyDescent="0.25">
      <c r="N34" s="1"/>
      <c r="O34" s="1"/>
      <c r="P34" s="1"/>
      <c r="Q34" s="1"/>
      <c r="R34" s="1"/>
      <c r="S34" s="1"/>
      <c r="T34" s="1"/>
    </row>
    <row r="35" spans="14:20" x14ac:dyDescent="0.25">
      <c r="N35" s="1"/>
      <c r="O35" s="1"/>
      <c r="P35" s="1"/>
      <c r="Q35" s="1"/>
      <c r="R35" s="1"/>
      <c r="S35" s="1"/>
      <c r="T35" s="1"/>
    </row>
    <row r="36" spans="14:20" x14ac:dyDescent="0.25">
      <c r="N36" s="1"/>
      <c r="O36" s="1"/>
      <c r="P36" s="1"/>
      <c r="Q36" s="1"/>
      <c r="R36" s="1"/>
      <c r="S36" s="1"/>
      <c r="T36" s="1"/>
    </row>
    <row r="37" spans="14:20" x14ac:dyDescent="0.25">
      <c r="N37" s="1"/>
      <c r="O37" s="1"/>
      <c r="P37" s="1"/>
      <c r="Q37" s="1"/>
      <c r="R37" s="1"/>
      <c r="S37" s="1"/>
      <c r="T37" s="1"/>
    </row>
    <row r="38" spans="14:20" x14ac:dyDescent="0.25">
      <c r="N38" s="1"/>
      <c r="O38" s="1"/>
      <c r="P38" s="1"/>
      <c r="Q38" s="1"/>
      <c r="R38" s="1"/>
      <c r="S38" s="1"/>
      <c r="T38" s="1"/>
    </row>
    <row r="39" spans="14:20" x14ac:dyDescent="0.25">
      <c r="N39" s="1"/>
      <c r="O39" s="1"/>
      <c r="P39" s="1"/>
      <c r="Q39" s="1"/>
      <c r="R39" s="1"/>
      <c r="S39" s="1"/>
      <c r="T39" s="1"/>
    </row>
    <row r="40" spans="14:20" x14ac:dyDescent="0.25">
      <c r="N40" s="1"/>
      <c r="O40" s="1"/>
      <c r="P40" s="1"/>
      <c r="Q40" s="1"/>
      <c r="R40" s="1"/>
      <c r="S40" s="1"/>
      <c r="T40" s="1"/>
    </row>
    <row r="41" spans="14:20" x14ac:dyDescent="0.25">
      <c r="N41" s="1"/>
      <c r="O41" s="1"/>
      <c r="P41" s="1"/>
      <c r="Q41" s="1"/>
      <c r="R41" s="1"/>
      <c r="S41" s="1"/>
      <c r="T41" s="1"/>
    </row>
    <row r="42" spans="14:20" x14ac:dyDescent="0.25">
      <c r="N42" s="1"/>
      <c r="O42" s="1"/>
      <c r="P42" s="1"/>
      <c r="Q42" s="1"/>
      <c r="R42" s="1"/>
      <c r="S42" s="1"/>
      <c r="T42" s="1"/>
    </row>
    <row r="43" spans="14:20" x14ac:dyDescent="0.25">
      <c r="N43" s="1"/>
      <c r="O43" s="1"/>
      <c r="P43" s="1"/>
      <c r="Q43" s="1"/>
      <c r="R43" s="1"/>
      <c r="S43" s="1"/>
      <c r="T43" s="1"/>
    </row>
    <row r="44" spans="14:20" x14ac:dyDescent="0.25">
      <c r="N44" s="1"/>
      <c r="O44" s="1"/>
      <c r="P44" s="1"/>
      <c r="Q44" s="1"/>
      <c r="R44" s="1"/>
      <c r="S44" s="1"/>
      <c r="T44" s="1"/>
    </row>
    <row r="45" spans="14:20" x14ac:dyDescent="0.25">
      <c r="N45" s="1"/>
      <c r="O45" s="1"/>
      <c r="P45" s="1"/>
      <c r="Q45" s="1"/>
      <c r="R45" s="1"/>
      <c r="S45" s="1"/>
      <c r="T45" s="1"/>
    </row>
    <row r="46" spans="14:20" x14ac:dyDescent="0.25">
      <c r="N46" s="1"/>
      <c r="O46" s="1"/>
      <c r="P46" s="1"/>
      <c r="Q46" s="1"/>
      <c r="R46" s="1"/>
      <c r="S46" s="1"/>
      <c r="T46" s="1"/>
    </row>
    <row r="47" spans="14:20" x14ac:dyDescent="0.25">
      <c r="N47" s="1"/>
      <c r="O47" s="1"/>
      <c r="P47" s="1"/>
      <c r="Q47" s="1"/>
      <c r="R47" s="1"/>
      <c r="S47" s="1"/>
      <c r="T47" s="1"/>
    </row>
    <row r="48" spans="14:20" x14ac:dyDescent="0.25">
      <c r="N48" s="1"/>
      <c r="O48" s="1"/>
      <c r="P48" s="1"/>
      <c r="Q48" s="1"/>
      <c r="R48" s="1"/>
      <c r="S48" s="1"/>
      <c r="T48" s="1"/>
    </row>
    <row r="49" spans="14:20" x14ac:dyDescent="0.25">
      <c r="N49" s="1"/>
      <c r="O49" s="1"/>
      <c r="P49" s="1"/>
      <c r="Q49" s="1"/>
      <c r="R49" s="1"/>
      <c r="S49" s="1"/>
      <c r="T49" s="1"/>
    </row>
    <row r="50" spans="14:20" x14ac:dyDescent="0.25">
      <c r="N50" s="1"/>
      <c r="O50" s="1"/>
      <c r="P50" s="1"/>
      <c r="Q50" s="1"/>
      <c r="R50" s="1"/>
      <c r="S50" s="1"/>
      <c r="T50" s="1"/>
    </row>
    <row r="51" spans="14:20" x14ac:dyDescent="0.25">
      <c r="N51" s="1"/>
      <c r="O51" s="1"/>
      <c r="P51" s="1"/>
      <c r="Q51" s="1"/>
      <c r="R51" s="1"/>
      <c r="S51" s="1"/>
      <c r="T51" s="1"/>
    </row>
    <row r="52" spans="14:20" x14ac:dyDescent="0.25">
      <c r="N52" s="1"/>
      <c r="O52" s="1"/>
      <c r="P52" s="1"/>
      <c r="Q52" s="1"/>
      <c r="R52" s="1"/>
      <c r="S52" s="1"/>
      <c r="T52" s="1"/>
    </row>
    <row r="53" spans="14:20" x14ac:dyDescent="0.25">
      <c r="N53" s="1"/>
      <c r="O53" s="1"/>
      <c r="P53" s="1"/>
      <c r="Q53" s="1"/>
      <c r="R53" s="1"/>
      <c r="S53" s="1"/>
      <c r="T53" s="1"/>
    </row>
    <row r="54" spans="14:20" x14ac:dyDescent="0.25">
      <c r="N54" s="1"/>
      <c r="O54" s="1"/>
      <c r="P54" s="1"/>
      <c r="Q54" s="1"/>
      <c r="R54" s="1"/>
      <c r="S54" s="1"/>
      <c r="T54" s="1"/>
    </row>
    <row r="55" spans="14:20" x14ac:dyDescent="0.25">
      <c r="N55" s="1"/>
      <c r="O55" s="1"/>
      <c r="P55" s="1"/>
      <c r="Q55" s="1"/>
      <c r="R55" s="1"/>
      <c r="S55" s="1"/>
      <c r="T55" s="1"/>
    </row>
    <row r="56" spans="14:20" x14ac:dyDescent="0.25">
      <c r="N56" s="1"/>
      <c r="O56" s="1"/>
      <c r="P56" s="1"/>
      <c r="Q56" s="1"/>
      <c r="R56" s="1"/>
      <c r="S56" s="1"/>
      <c r="T56" s="1"/>
    </row>
    <row r="57" spans="14:20" x14ac:dyDescent="0.25">
      <c r="N57" s="1"/>
      <c r="O57" s="1"/>
      <c r="P57" s="1"/>
      <c r="Q57" s="1"/>
      <c r="R57" s="1"/>
      <c r="S57" s="1"/>
      <c r="T57" s="1"/>
    </row>
    <row r="58" spans="14:20" x14ac:dyDescent="0.25">
      <c r="N58" s="1"/>
      <c r="O58" s="1"/>
      <c r="P58" s="1"/>
      <c r="Q58" s="1"/>
      <c r="R58" s="1"/>
      <c r="S58" s="1"/>
      <c r="T58" s="1"/>
    </row>
    <row r="59" spans="14:20" x14ac:dyDescent="0.25">
      <c r="N59" s="1"/>
      <c r="O59" s="1"/>
      <c r="P59" s="1"/>
      <c r="Q59" s="1"/>
      <c r="R59" s="1"/>
      <c r="S59" s="1"/>
      <c r="T59" s="1"/>
    </row>
    <row r="60" spans="14:20" x14ac:dyDescent="0.25">
      <c r="N60" s="1"/>
      <c r="O60" s="1"/>
      <c r="P60" s="1"/>
      <c r="Q60" s="1"/>
      <c r="R60" s="1"/>
      <c r="S60" s="1"/>
      <c r="T60" s="1"/>
    </row>
    <row r="61" spans="14:20" x14ac:dyDescent="0.25">
      <c r="N61" s="1"/>
      <c r="O61" s="1"/>
      <c r="P61" s="1"/>
      <c r="Q61" s="1"/>
      <c r="R61" s="1"/>
      <c r="S61" s="1"/>
      <c r="T61" s="1"/>
    </row>
    <row r="62" spans="14:20" x14ac:dyDescent="0.25">
      <c r="N62" s="1"/>
      <c r="O62" s="1"/>
      <c r="P62" s="1"/>
      <c r="Q62" s="1"/>
      <c r="R62" s="1"/>
      <c r="S62" s="1"/>
      <c r="T62" s="1"/>
    </row>
    <row r="63" spans="14:20" x14ac:dyDescent="0.25">
      <c r="N63" s="1"/>
      <c r="O63" s="1"/>
      <c r="P63" s="1"/>
      <c r="Q63" s="1"/>
      <c r="R63" s="1"/>
      <c r="S63" s="1"/>
      <c r="T63" s="1"/>
    </row>
    <row r="64" spans="14:20" x14ac:dyDescent="0.25">
      <c r="N64" s="1"/>
      <c r="O64" s="1"/>
      <c r="P64" s="1"/>
      <c r="Q64" s="1"/>
      <c r="R64" s="1"/>
      <c r="S64" s="1"/>
      <c r="T64" s="1"/>
    </row>
    <row r="65" spans="14:20" x14ac:dyDescent="0.25">
      <c r="N65" s="1"/>
      <c r="O65" s="1"/>
      <c r="P65" s="1"/>
      <c r="Q65" s="1"/>
      <c r="R65" s="1"/>
      <c r="S65" s="1"/>
      <c r="T65" s="1"/>
    </row>
    <row r="66" spans="14:20" x14ac:dyDescent="0.25">
      <c r="N66" s="1"/>
      <c r="O66" s="1"/>
      <c r="P66" s="1"/>
      <c r="Q66" s="1"/>
      <c r="R66" s="1"/>
      <c r="S66" s="1"/>
      <c r="T66" s="1"/>
    </row>
    <row r="67" spans="14:20" x14ac:dyDescent="0.25">
      <c r="N67" s="1"/>
      <c r="O67" s="1"/>
      <c r="P67" s="1"/>
      <c r="Q67" s="1"/>
      <c r="R67" s="1"/>
      <c r="S67" s="1"/>
      <c r="T67" s="1"/>
    </row>
    <row r="68" spans="14:20" x14ac:dyDescent="0.25">
      <c r="N68" s="1"/>
      <c r="O68" s="1"/>
      <c r="P68" s="1"/>
      <c r="Q68" s="1"/>
      <c r="R68" s="1"/>
      <c r="S68" s="1"/>
      <c r="T68" s="1"/>
    </row>
    <row r="69" spans="14:20" x14ac:dyDescent="0.25">
      <c r="N69" s="1"/>
      <c r="O69" s="1"/>
      <c r="P69" s="1"/>
      <c r="Q69" s="1"/>
      <c r="R69" s="1"/>
      <c r="S69" s="1"/>
      <c r="T69" s="1"/>
    </row>
    <row r="70" spans="14:20" x14ac:dyDescent="0.25">
      <c r="N70" s="1"/>
      <c r="O70" s="1"/>
      <c r="P70" s="1"/>
      <c r="Q70" s="1"/>
      <c r="R70" s="1"/>
      <c r="S70" s="1"/>
      <c r="T70" s="1"/>
    </row>
    <row r="71" spans="14:20" x14ac:dyDescent="0.25">
      <c r="N71" s="1"/>
      <c r="O71" s="1"/>
      <c r="P71" s="1"/>
      <c r="Q71" s="1"/>
      <c r="R71" s="1"/>
      <c r="S71" s="1"/>
      <c r="T71" s="1"/>
    </row>
    <row r="72" spans="14:20" x14ac:dyDescent="0.25">
      <c r="N72" s="1"/>
      <c r="O72" s="1"/>
      <c r="P72" s="1"/>
      <c r="Q72" s="1"/>
      <c r="R72" s="1"/>
      <c r="S72" s="1"/>
      <c r="T72" s="1"/>
    </row>
    <row r="73" spans="14:20" x14ac:dyDescent="0.25">
      <c r="N73" s="1"/>
      <c r="O73" s="1"/>
      <c r="P73" s="1"/>
      <c r="Q73" s="1"/>
      <c r="R73" s="1"/>
      <c r="S73" s="1"/>
      <c r="T73" s="1"/>
    </row>
    <row r="74" spans="14:20" x14ac:dyDescent="0.25">
      <c r="N74" s="1"/>
      <c r="O74" s="1"/>
      <c r="P74" s="1"/>
      <c r="Q74" s="1"/>
      <c r="R74" s="1"/>
      <c r="S74" s="1"/>
      <c r="T74" s="1"/>
    </row>
    <row r="75" spans="14:20" x14ac:dyDescent="0.25">
      <c r="N75" s="1"/>
      <c r="O75" s="1"/>
      <c r="P75" s="1"/>
      <c r="Q75" s="1"/>
      <c r="R75" s="1"/>
      <c r="S75" s="1"/>
      <c r="T75" s="1"/>
    </row>
    <row r="76" spans="14:20" x14ac:dyDescent="0.25">
      <c r="N76" s="1"/>
      <c r="O76" s="1"/>
      <c r="P76" s="1"/>
      <c r="Q76" s="1"/>
      <c r="R76" s="1"/>
      <c r="S76" s="1"/>
      <c r="T76" s="1"/>
    </row>
    <row r="77" spans="14:20" x14ac:dyDescent="0.25">
      <c r="N77" s="1"/>
      <c r="O77" s="1"/>
      <c r="P77" s="1"/>
      <c r="Q77" s="1"/>
      <c r="R77" s="1"/>
      <c r="S77" s="1"/>
      <c r="T77" s="1"/>
    </row>
    <row r="78" spans="14:20" x14ac:dyDescent="0.25">
      <c r="N78" s="1"/>
      <c r="O78" s="1"/>
      <c r="P78" s="1"/>
      <c r="Q78" s="1"/>
      <c r="R78" s="1"/>
      <c r="S78" s="1"/>
      <c r="T78" s="1"/>
    </row>
    <row r="79" spans="14:20" x14ac:dyDescent="0.25">
      <c r="N79" s="1"/>
      <c r="O79" s="1"/>
      <c r="P79" s="1"/>
      <c r="Q79" s="1"/>
      <c r="R79" s="1"/>
      <c r="S79" s="1"/>
      <c r="T79" s="1"/>
    </row>
    <row r="80" spans="14:20" x14ac:dyDescent="0.25">
      <c r="N80" s="1"/>
      <c r="O80" s="1"/>
      <c r="P80" s="1"/>
      <c r="Q80" s="1"/>
      <c r="R80" s="1"/>
      <c r="S80" s="1"/>
      <c r="T80" s="1"/>
    </row>
    <row r="81" spans="14:20" x14ac:dyDescent="0.25">
      <c r="N81" s="1"/>
      <c r="O81" s="1"/>
      <c r="P81" s="1"/>
      <c r="Q81" s="1"/>
      <c r="R81" s="1"/>
      <c r="S81" s="1"/>
      <c r="T81" s="1"/>
    </row>
    <row r="82" spans="14:20" x14ac:dyDescent="0.25">
      <c r="N82" s="1"/>
      <c r="O82" s="1"/>
      <c r="P82" s="1"/>
      <c r="Q82" s="1"/>
      <c r="R82" s="1"/>
      <c r="S82" s="1"/>
      <c r="T82" s="1"/>
    </row>
    <row r="83" spans="14:20" x14ac:dyDescent="0.25">
      <c r="N83" s="1"/>
      <c r="O83" s="1"/>
      <c r="P83" s="1"/>
      <c r="Q83" s="1"/>
      <c r="R83" s="1"/>
      <c r="S83" s="1"/>
      <c r="T83" s="1"/>
    </row>
    <row r="84" spans="14:20" x14ac:dyDescent="0.25">
      <c r="N84" s="1"/>
      <c r="O84" s="1"/>
      <c r="P84" s="1"/>
      <c r="Q84" s="1"/>
      <c r="R84" s="1"/>
      <c r="S84" s="1"/>
      <c r="T84" s="1"/>
    </row>
    <row r="85" spans="14:20" x14ac:dyDescent="0.25">
      <c r="N85" s="1"/>
      <c r="O85" s="1"/>
      <c r="P85" s="1"/>
      <c r="Q85" s="1"/>
      <c r="R85" s="1"/>
      <c r="S85" s="1"/>
      <c r="T85" s="1"/>
    </row>
    <row r="86" spans="14:20" x14ac:dyDescent="0.25">
      <c r="N86" s="1"/>
      <c r="O86" s="1"/>
      <c r="P86" s="1"/>
      <c r="Q86" s="1"/>
      <c r="R86" s="1"/>
      <c r="S86" s="1"/>
      <c r="T86" s="1"/>
    </row>
    <row r="87" spans="14:20" x14ac:dyDescent="0.25">
      <c r="N87" s="1"/>
      <c r="O87" s="1"/>
      <c r="P87" s="1"/>
      <c r="Q87" s="1"/>
      <c r="R87" s="1"/>
      <c r="S87" s="1"/>
      <c r="T87" s="1"/>
    </row>
    <row r="88" spans="14:20" x14ac:dyDescent="0.25">
      <c r="N88" s="1"/>
      <c r="O88" s="1"/>
      <c r="P88" s="1"/>
      <c r="Q88" s="1"/>
      <c r="R88" s="1"/>
      <c r="S88" s="1"/>
      <c r="T88" s="1"/>
    </row>
    <row r="89" spans="14:20" x14ac:dyDescent="0.25">
      <c r="N89" s="1"/>
      <c r="O89" s="1"/>
      <c r="P89" s="1"/>
      <c r="Q89" s="1"/>
      <c r="R89" s="1"/>
      <c r="S89" s="1"/>
      <c r="T89" s="1"/>
    </row>
    <row r="90" spans="14:20" x14ac:dyDescent="0.25">
      <c r="N90" s="1"/>
      <c r="O90" s="1"/>
      <c r="P90" s="1"/>
      <c r="Q90" s="1"/>
      <c r="R90" s="1"/>
      <c r="S90" s="1"/>
      <c r="T90" s="1"/>
    </row>
    <row r="91" spans="14:20" x14ac:dyDescent="0.25">
      <c r="N91" s="1"/>
      <c r="O91" s="1"/>
      <c r="P91" s="1"/>
      <c r="Q91" s="1"/>
      <c r="R91" s="1"/>
      <c r="S91" s="1"/>
      <c r="T91" s="1"/>
    </row>
    <row r="92" spans="14:20" x14ac:dyDescent="0.25">
      <c r="N92" s="1"/>
      <c r="O92" s="1"/>
      <c r="P92" s="1"/>
      <c r="Q92" s="1"/>
      <c r="R92" s="1"/>
      <c r="S92" s="1"/>
      <c r="T92" s="1"/>
    </row>
    <row r="93" spans="14:20" x14ac:dyDescent="0.25">
      <c r="N93" s="1"/>
      <c r="O93" s="1"/>
      <c r="P93" s="1"/>
      <c r="Q93" s="1"/>
      <c r="R93" s="1"/>
      <c r="S93" s="1"/>
      <c r="T93" s="1"/>
    </row>
    <row r="94" spans="14:20" x14ac:dyDescent="0.25">
      <c r="N94" s="1"/>
      <c r="O94" s="1"/>
      <c r="P94" s="1"/>
      <c r="Q94" s="1"/>
      <c r="R94" s="1"/>
      <c r="S94" s="1"/>
      <c r="T94" s="1"/>
    </row>
    <row r="95" spans="14:20" x14ac:dyDescent="0.25">
      <c r="N95" s="1"/>
      <c r="O95" s="1"/>
      <c r="P95" s="1"/>
      <c r="Q95" s="1"/>
      <c r="R95" s="1"/>
      <c r="S95" s="1"/>
      <c r="T95" s="1"/>
    </row>
    <row r="96" spans="14:20" x14ac:dyDescent="0.25">
      <c r="N96" s="1"/>
      <c r="O96" s="1"/>
      <c r="P96" s="1"/>
      <c r="Q96" s="1"/>
      <c r="R96" s="1"/>
      <c r="S96" s="1"/>
      <c r="T96" s="1"/>
    </row>
    <row r="97" spans="14:20" x14ac:dyDescent="0.25">
      <c r="N97" s="1"/>
      <c r="O97" s="1"/>
      <c r="P97" s="1"/>
      <c r="Q97" s="1"/>
      <c r="R97" s="1"/>
      <c r="S97" s="1"/>
      <c r="T97" s="1"/>
    </row>
    <row r="98" spans="14:20" x14ac:dyDescent="0.25">
      <c r="N98" s="1"/>
      <c r="O98" s="1"/>
      <c r="P98" s="1"/>
      <c r="Q98" s="1"/>
      <c r="R98" s="1"/>
      <c r="S98" s="1"/>
      <c r="T98" s="1"/>
    </row>
    <row r="99" spans="14:20" x14ac:dyDescent="0.25">
      <c r="N99" s="1"/>
      <c r="O99" s="1"/>
      <c r="P99" s="1"/>
      <c r="Q99" s="1"/>
      <c r="R99" s="1"/>
      <c r="S99" s="1"/>
      <c r="T99" s="1"/>
    </row>
    <row r="100" spans="14:20" x14ac:dyDescent="0.25">
      <c r="N100" s="1"/>
      <c r="O100" s="1"/>
      <c r="P100" s="1"/>
      <c r="Q100" s="1"/>
      <c r="R100" s="1"/>
      <c r="S100" s="1"/>
      <c r="T100" s="1"/>
    </row>
    <row r="101" spans="14:20" x14ac:dyDescent="0.25">
      <c r="N101" s="1"/>
      <c r="O101" s="1"/>
      <c r="P101" s="1"/>
      <c r="Q101" s="1"/>
      <c r="R101" s="1"/>
      <c r="S101" s="1"/>
      <c r="T101" s="1"/>
    </row>
    <row r="102" spans="14:20" x14ac:dyDescent="0.25">
      <c r="N102" s="1"/>
      <c r="O102" s="1"/>
      <c r="P102" s="1"/>
      <c r="Q102" s="1"/>
      <c r="R102" s="1"/>
      <c r="S102" s="1"/>
      <c r="T102" s="1"/>
    </row>
    <row r="103" spans="14:20" x14ac:dyDescent="0.25">
      <c r="N103" s="1"/>
      <c r="O103" s="1"/>
      <c r="P103" s="1"/>
      <c r="Q103" s="1"/>
      <c r="R103" s="1"/>
      <c r="S103" s="1"/>
      <c r="T103" s="1"/>
    </row>
    <row r="104" spans="14:20" x14ac:dyDescent="0.25">
      <c r="N104" s="1"/>
      <c r="O104" s="1"/>
      <c r="P104" s="1"/>
      <c r="Q104" s="1"/>
      <c r="R104" s="1"/>
      <c r="S104" s="1"/>
      <c r="T104" s="1"/>
    </row>
    <row r="105" spans="14:20" x14ac:dyDescent="0.25">
      <c r="N105" s="1"/>
      <c r="O105" s="1"/>
      <c r="P105" s="1"/>
      <c r="Q105" s="1"/>
      <c r="R105" s="1"/>
      <c r="S105" s="1"/>
      <c r="T105" s="1"/>
    </row>
    <row r="106" spans="14:20" x14ac:dyDescent="0.25">
      <c r="N106" s="1"/>
      <c r="O106" s="1"/>
      <c r="P106" s="1"/>
      <c r="Q106" s="1"/>
      <c r="R106" s="1"/>
      <c r="S106" s="1"/>
      <c r="T106" s="1"/>
    </row>
    <row r="107" spans="14:20" x14ac:dyDescent="0.25">
      <c r="N107" s="1"/>
      <c r="O107" s="1"/>
      <c r="P107" s="1"/>
      <c r="Q107" s="1"/>
      <c r="R107" s="1"/>
      <c r="S107" s="1"/>
      <c r="T107" s="1"/>
    </row>
    <row r="108" spans="14:20" x14ac:dyDescent="0.25">
      <c r="N108" s="1"/>
      <c r="O108" s="1"/>
      <c r="P108" s="1"/>
      <c r="Q108" s="1"/>
      <c r="R108" s="1"/>
      <c r="S108" s="1"/>
      <c r="T108" s="1"/>
    </row>
    <row r="109" spans="14:20" x14ac:dyDescent="0.25">
      <c r="N109" s="1"/>
      <c r="O109" s="1"/>
      <c r="P109" s="1"/>
      <c r="Q109" s="1"/>
      <c r="R109" s="1"/>
      <c r="S109" s="1"/>
      <c r="T109" s="1"/>
    </row>
    <row r="110" spans="14:20" x14ac:dyDescent="0.25">
      <c r="N110" s="1"/>
      <c r="O110" s="1"/>
      <c r="P110" s="1"/>
      <c r="Q110" s="1"/>
      <c r="R110" s="1"/>
      <c r="S110" s="1"/>
      <c r="T110" s="1"/>
    </row>
    <row r="111" spans="14:20" x14ac:dyDescent="0.25">
      <c r="N111" s="1"/>
      <c r="O111" s="1"/>
      <c r="P111" s="1"/>
      <c r="Q111" s="1"/>
      <c r="R111" s="1"/>
      <c r="S111" s="1"/>
      <c r="T111" s="1"/>
    </row>
    <row r="112" spans="14:20" x14ac:dyDescent="0.25">
      <c r="N112" s="1"/>
      <c r="O112" s="1"/>
      <c r="P112" s="1"/>
      <c r="Q112" s="1"/>
      <c r="R112" s="1"/>
      <c r="S112" s="1"/>
      <c r="T112" s="1"/>
    </row>
    <row r="113" spans="14:20" x14ac:dyDescent="0.25">
      <c r="N113" s="1"/>
      <c r="O113" s="1"/>
      <c r="P113" s="1"/>
      <c r="Q113" s="1"/>
      <c r="R113" s="1"/>
      <c r="S113" s="1"/>
      <c r="T113" s="1"/>
    </row>
    <row r="114" spans="14:20" x14ac:dyDescent="0.25">
      <c r="N114" s="1"/>
      <c r="O114" s="1"/>
      <c r="P114" s="1"/>
      <c r="Q114" s="1"/>
      <c r="R114" s="1"/>
      <c r="S114" s="1"/>
      <c r="T114" s="1"/>
    </row>
    <row r="115" spans="14:20" x14ac:dyDescent="0.25">
      <c r="N115" s="1"/>
      <c r="O115" s="1"/>
      <c r="P115" s="1"/>
      <c r="Q115" s="1"/>
      <c r="R115" s="1"/>
      <c r="S115" s="1"/>
      <c r="T115" s="1"/>
    </row>
    <row r="116" spans="14:20" x14ac:dyDescent="0.25">
      <c r="N116" s="1"/>
      <c r="O116" s="1"/>
      <c r="P116" s="1"/>
      <c r="Q116" s="1"/>
      <c r="R116" s="1"/>
      <c r="S116" s="1"/>
      <c r="T116" s="1"/>
    </row>
    <row r="117" spans="14:20" x14ac:dyDescent="0.25">
      <c r="N117" s="1"/>
      <c r="O117" s="1"/>
      <c r="P117" s="1"/>
      <c r="Q117" s="1"/>
      <c r="R117" s="1"/>
      <c r="S117" s="1"/>
      <c r="T117" s="1"/>
    </row>
    <row r="118" spans="14:20" x14ac:dyDescent="0.25">
      <c r="N118" s="1"/>
      <c r="O118" s="1"/>
      <c r="P118" s="1"/>
      <c r="Q118" s="1"/>
      <c r="R118" s="1"/>
      <c r="S118" s="1"/>
      <c r="T118" s="1"/>
    </row>
    <row r="119" spans="14:20" x14ac:dyDescent="0.25">
      <c r="N119" s="1"/>
      <c r="O119" s="1"/>
      <c r="P119" s="1"/>
      <c r="Q119" s="1"/>
      <c r="R119" s="1"/>
      <c r="S119" s="1"/>
      <c r="T119" s="1"/>
    </row>
    <row r="120" spans="14:20" x14ac:dyDescent="0.25">
      <c r="N120" s="1"/>
      <c r="O120" s="1"/>
      <c r="P120" s="1"/>
      <c r="Q120" s="1"/>
      <c r="R120" s="1"/>
      <c r="S120" s="1"/>
      <c r="T120" s="1"/>
    </row>
    <row r="121" spans="14:20" x14ac:dyDescent="0.25">
      <c r="N121" s="1"/>
      <c r="O121" s="1"/>
      <c r="P121" s="1"/>
      <c r="Q121" s="1"/>
      <c r="R121" s="1"/>
      <c r="S121" s="1"/>
      <c r="T121" s="1"/>
    </row>
    <row r="122" spans="14:20" x14ac:dyDescent="0.25">
      <c r="N122" s="1"/>
      <c r="O122" s="1"/>
      <c r="P122" s="1"/>
      <c r="Q122" s="1"/>
      <c r="R122" s="1"/>
      <c r="S122" s="1"/>
      <c r="T122" s="1"/>
    </row>
    <row r="123" spans="14:20" x14ac:dyDescent="0.25">
      <c r="N123" s="1"/>
      <c r="O123" s="1"/>
      <c r="P123" s="1"/>
      <c r="Q123" s="1"/>
      <c r="R123" s="1"/>
      <c r="S123" s="1"/>
      <c r="T123" s="1"/>
    </row>
    <row r="124" spans="14:20" x14ac:dyDescent="0.25">
      <c r="N124" s="1"/>
      <c r="O124" s="1"/>
      <c r="P124" s="1"/>
      <c r="Q124" s="1"/>
      <c r="R124" s="1"/>
      <c r="S124" s="1"/>
      <c r="T124" s="1"/>
    </row>
    <row r="125" spans="14:20" x14ac:dyDescent="0.25">
      <c r="N125" s="1"/>
      <c r="O125" s="1"/>
      <c r="P125" s="1"/>
      <c r="Q125" s="1"/>
      <c r="R125" s="1"/>
      <c r="S125" s="1"/>
      <c r="T125" s="1"/>
    </row>
    <row r="126" spans="14:20" x14ac:dyDescent="0.25">
      <c r="N126" s="1"/>
      <c r="O126" s="1"/>
      <c r="P126" s="1"/>
      <c r="Q126" s="1"/>
      <c r="R126" s="1"/>
      <c r="S126" s="1"/>
      <c r="T126" s="1"/>
    </row>
    <row r="127" spans="14:20" x14ac:dyDescent="0.25">
      <c r="N127" s="1"/>
      <c r="O127" s="1"/>
      <c r="P127" s="1"/>
      <c r="Q127" s="1"/>
      <c r="R127" s="1"/>
      <c r="S127" s="1"/>
      <c r="T127" s="1"/>
    </row>
    <row r="128" spans="14:20" x14ac:dyDescent="0.25">
      <c r="N128" s="1"/>
      <c r="O128" s="1"/>
      <c r="P128" s="1"/>
      <c r="Q128" s="1"/>
      <c r="R128" s="1"/>
      <c r="S128" s="1"/>
      <c r="T128" s="1"/>
    </row>
    <row r="129" spans="14:20" x14ac:dyDescent="0.25">
      <c r="N129" s="1"/>
      <c r="O129" s="1"/>
      <c r="P129" s="1"/>
      <c r="Q129" s="1"/>
      <c r="R129" s="1"/>
      <c r="S129" s="1"/>
      <c r="T129" s="1"/>
    </row>
    <row r="130" spans="14:20" x14ac:dyDescent="0.25">
      <c r="N130" s="1"/>
      <c r="O130" s="1"/>
      <c r="P130" s="1"/>
      <c r="Q130" s="1"/>
      <c r="R130" s="1"/>
      <c r="S130" s="1"/>
      <c r="T130" s="1"/>
    </row>
    <row r="131" spans="14:20" x14ac:dyDescent="0.25">
      <c r="N131" s="1"/>
      <c r="O131" s="1"/>
      <c r="P131" s="1"/>
      <c r="Q131" s="1"/>
      <c r="R131" s="1"/>
      <c r="S131" s="1"/>
      <c r="T131" s="1"/>
    </row>
    <row r="132" spans="14:20" x14ac:dyDescent="0.25">
      <c r="N132" s="1"/>
      <c r="O132" s="1"/>
      <c r="P132" s="1"/>
      <c r="Q132" s="1"/>
      <c r="R132" s="1"/>
      <c r="S132" s="1"/>
      <c r="T132" s="1"/>
    </row>
    <row r="133" spans="14:20" x14ac:dyDescent="0.25">
      <c r="N133" s="1"/>
      <c r="O133" s="1"/>
      <c r="P133" s="1"/>
      <c r="Q133" s="1"/>
      <c r="R133" s="1"/>
      <c r="S133" s="1"/>
      <c r="T133" s="1"/>
    </row>
    <row r="134" spans="14:20" x14ac:dyDescent="0.25">
      <c r="N134" s="1"/>
      <c r="O134" s="1"/>
      <c r="P134" s="1"/>
      <c r="Q134" s="1"/>
      <c r="R134" s="1"/>
      <c r="S134" s="1"/>
      <c r="T134" s="1"/>
    </row>
    <row r="135" spans="14:20" x14ac:dyDescent="0.25">
      <c r="N135" s="1"/>
      <c r="O135" s="1"/>
      <c r="P135" s="1"/>
      <c r="Q135" s="1"/>
      <c r="R135" s="1"/>
      <c r="S135" s="1"/>
      <c r="T135" s="1"/>
    </row>
    <row r="136" spans="14:20" x14ac:dyDescent="0.25">
      <c r="N136" s="1"/>
      <c r="O136" s="1"/>
      <c r="P136" s="1"/>
      <c r="Q136" s="1"/>
      <c r="R136" s="1"/>
      <c r="S136" s="1"/>
      <c r="T136" s="1"/>
    </row>
    <row r="137" spans="14:20" x14ac:dyDescent="0.25">
      <c r="N137" s="1"/>
      <c r="O137" s="1"/>
      <c r="P137" s="1"/>
      <c r="Q137" s="1"/>
      <c r="R137" s="1"/>
      <c r="S137" s="1"/>
      <c r="T137" s="1"/>
    </row>
    <row r="138" spans="14:20" x14ac:dyDescent="0.25">
      <c r="N138" s="1"/>
      <c r="O138" s="1"/>
      <c r="P138" s="1"/>
      <c r="Q138" s="1"/>
      <c r="R138" s="1"/>
      <c r="S138" s="1"/>
      <c r="T138" s="1"/>
    </row>
    <row r="139" spans="14:20" x14ac:dyDescent="0.25">
      <c r="N139" s="1"/>
      <c r="O139" s="1"/>
      <c r="P139" s="1"/>
      <c r="Q139" s="1"/>
      <c r="R139" s="1"/>
      <c r="S139" s="1"/>
      <c r="T139" s="1"/>
    </row>
    <row r="140" spans="14:20" x14ac:dyDescent="0.25">
      <c r="N140" s="1"/>
      <c r="O140" s="1"/>
      <c r="P140" s="1"/>
      <c r="Q140" s="1"/>
      <c r="R140" s="1"/>
      <c r="S140" s="1"/>
      <c r="T140" s="1"/>
    </row>
    <row r="141" spans="14:20" x14ac:dyDescent="0.25">
      <c r="N141" s="1"/>
      <c r="O141" s="1"/>
      <c r="P141" s="1"/>
      <c r="Q141" s="1"/>
      <c r="R141" s="1"/>
      <c r="S141" s="1"/>
      <c r="T141" s="1"/>
    </row>
    <row r="142" spans="14:20" x14ac:dyDescent="0.25">
      <c r="N142" s="1"/>
      <c r="O142" s="1"/>
      <c r="P142" s="1"/>
      <c r="Q142" s="1"/>
      <c r="R142" s="1"/>
      <c r="S142" s="1"/>
      <c r="T142" s="1"/>
    </row>
    <row r="143" spans="14:20" x14ac:dyDescent="0.25">
      <c r="N143" s="1"/>
      <c r="O143" s="1"/>
      <c r="P143" s="1"/>
      <c r="Q143" s="1"/>
      <c r="R143" s="1"/>
      <c r="S143" s="1"/>
      <c r="T143" s="1"/>
    </row>
    <row r="144" spans="14:20" x14ac:dyDescent="0.25">
      <c r="N144" s="1"/>
      <c r="O144" s="1"/>
      <c r="P144" s="1"/>
      <c r="Q144" s="1"/>
      <c r="R144" s="1"/>
      <c r="S144" s="1"/>
      <c r="T144" s="1"/>
    </row>
    <row r="145" spans="14:20" x14ac:dyDescent="0.25">
      <c r="N145" s="1"/>
      <c r="O145" s="1"/>
      <c r="P145" s="1"/>
      <c r="Q145" s="1"/>
      <c r="R145" s="1"/>
      <c r="S145" s="1"/>
      <c r="T145" s="1"/>
    </row>
    <row r="146" spans="14:20" x14ac:dyDescent="0.25">
      <c r="N146" s="1"/>
      <c r="O146" s="1"/>
      <c r="P146" s="1"/>
      <c r="Q146" s="1"/>
      <c r="R146" s="1"/>
      <c r="S146" s="1"/>
      <c r="T146" s="1"/>
    </row>
    <row r="147" spans="14:20" x14ac:dyDescent="0.25">
      <c r="N147" s="1"/>
      <c r="O147" s="1"/>
      <c r="P147" s="1"/>
      <c r="Q147" s="1"/>
      <c r="R147" s="1"/>
      <c r="S147" s="1"/>
      <c r="T147" s="1"/>
    </row>
    <row r="148" spans="14:20" x14ac:dyDescent="0.25">
      <c r="N148" s="1"/>
      <c r="O148" s="1"/>
      <c r="P148" s="1"/>
      <c r="Q148" s="1"/>
      <c r="R148" s="1"/>
      <c r="S148" s="1"/>
      <c r="T148" s="1"/>
    </row>
    <row r="149" spans="14:20" x14ac:dyDescent="0.25">
      <c r="N149" s="1"/>
      <c r="O149" s="1"/>
      <c r="P149" s="1"/>
      <c r="Q149" s="1"/>
      <c r="R149" s="1"/>
      <c r="S149" s="1"/>
      <c r="T149" s="1"/>
    </row>
    <row r="150" spans="14:20" x14ac:dyDescent="0.25">
      <c r="N150" s="1"/>
      <c r="O150" s="1"/>
      <c r="P150" s="1"/>
      <c r="Q150" s="1"/>
      <c r="R150" s="1"/>
      <c r="S150" s="1"/>
      <c r="T150" s="1"/>
    </row>
    <row r="151" spans="14:20" x14ac:dyDescent="0.25">
      <c r="N151" s="1"/>
      <c r="O151" s="1"/>
      <c r="P151" s="1"/>
      <c r="Q151" s="1"/>
      <c r="R151" s="1"/>
      <c r="S151" s="1"/>
      <c r="T151" s="1"/>
    </row>
    <row r="152" spans="14:20" x14ac:dyDescent="0.25">
      <c r="N152" s="1"/>
      <c r="O152" s="1"/>
      <c r="P152" s="1"/>
      <c r="Q152" s="1"/>
      <c r="R152" s="1"/>
      <c r="S152" s="1"/>
      <c r="T152" s="1"/>
    </row>
    <row r="153" spans="14:20" x14ac:dyDescent="0.25">
      <c r="N153" s="1"/>
      <c r="O153" s="1"/>
      <c r="P153" s="1"/>
      <c r="Q153" s="1"/>
      <c r="R153" s="1"/>
      <c r="S153" s="1"/>
      <c r="T153" s="1"/>
    </row>
    <row r="154" spans="14:20" x14ac:dyDescent="0.25">
      <c r="N154" s="1"/>
      <c r="O154" s="1"/>
      <c r="P154" s="1"/>
      <c r="Q154" s="1"/>
      <c r="R154" s="1"/>
      <c r="S154" s="1"/>
      <c r="T154" s="1"/>
    </row>
    <row r="155" spans="14:20" x14ac:dyDescent="0.25">
      <c r="N155" s="1"/>
      <c r="O155" s="1"/>
      <c r="P155" s="1"/>
      <c r="Q155" s="1"/>
      <c r="R155" s="1"/>
      <c r="S155" s="1"/>
      <c r="T155" s="1"/>
    </row>
    <row r="156" spans="14:20" x14ac:dyDescent="0.25">
      <c r="N156" s="1"/>
      <c r="O156" s="1"/>
      <c r="P156" s="1"/>
      <c r="Q156" s="1"/>
      <c r="R156" s="1"/>
      <c r="S156" s="1"/>
      <c r="T156" s="1"/>
    </row>
    <row r="157" spans="14:20" x14ac:dyDescent="0.25">
      <c r="N157" s="1"/>
      <c r="O157" s="1"/>
      <c r="P157" s="1"/>
      <c r="Q157" s="1"/>
      <c r="R157" s="1"/>
      <c r="S157" s="1"/>
      <c r="T157" s="1"/>
    </row>
    <row r="158" spans="14:20" x14ac:dyDescent="0.25">
      <c r="N158" s="1"/>
      <c r="O158" s="1"/>
      <c r="P158" s="1"/>
      <c r="Q158" s="1"/>
      <c r="R158" s="1"/>
      <c r="S158" s="1"/>
      <c r="T158" s="1"/>
    </row>
    <row r="159" spans="14:20" x14ac:dyDescent="0.25">
      <c r="N159" s="1"/>
      <c r="O159" s="1"/>
      <c r="P159" s="1"/>
      <c r="Q159" s="1"/>
      <c r="R159" s="1"/>
      <c r="S159" s="1"/>
      <c r="T159" s="1"/>
    </row>
    <row r="160" spans="14:20" x14ac:dyDescent="0.25">
      <c r="N160" s="1"/>
      <c r="O160" s="1"/>
      <c r="P160" s="1"/>
      <c r="Q160" s="1"/>
      <c r="R160" s="1"/>
      <c r="S160" s="1"/>
      <c r="T160" s="1"/>
    </row>
    <row r="161" spans="14:20" x14ac:dyDescent="0.25">
      <c r="N161" s="1"/>
      <c r="O161" s="1"/>
      <c r="P161" s="1"/>
      <c r="Q161" s="1"/>
      <c r="R161" s="1"/>
      <c r="S161" s="1"/>
      <c r="T161" s="1"/>
    </row>
    <row r="162" spans="14:20" x14ac:dyDescent="0.25">
      <c r="N162" s="1"/>
      <c r="O162" s="1"/>
      <c r="P162" s="1"/>
      <c r="Q162" s="1"/>
      <c r="R162" s="1"/>
      <c r="S162" s="1"/>
      <c r="T162" s="1"/>
    </row>
    <row r="163" spans="14:20" x14ac:dyDescent="0.25">
      <c r="N163" s="1"/>
      <c r="O163" s="1"/>
      <c r="P163" s="1"/>
      <c r="Q163" s="1"/>
      <c r="R163" s="1"/>
      <c r="S163" s="1"/>
      <c r="T163" s="1"/>
    </row>
    <row r="164" spans="14:20" x14ac:dyDescent="0.25">
      <c r="N164" s="1"/>
      <c r="O164" s="1"/>
      <c r="P164" s="1"/>
      <c r="Q164" s="1"/>
      <c r="R164" s="1"/>
      <c r="S164" s="1"/>
      <c r="T164" s="1"/>
    </row>
    <row r="165" spans="14:20" x14ac:dyDescent="0.25">
      <c r="N165" s="1"/>
      <c r="O165" s="1"/>
      <c r="P165" s="1"/>
      <c r="Q165" s="1"/>
      <c r="R165" s="1"/>
      <c r="S165" s="1"/>
      <c r="T165" s="1"/>
    </row>
    <row r="166" spans="14:20" x14ac:dyDescent="0.25">
      <c r="N166" s="1"/>
      <c r="O166" s="1"/>
      <c r="P166" s="1"/>
      <c r="Q166" s="1"/>
      <c r="R166" s="1"/>
      <c r="S166" s="1"/>
      <c r="T166" s="1"/>
    </row>
    <row r="167" spans="14:20" x14ac:dyDescent="0.25">
      <c r="N167" s="1"/>
      <c r="O167" s="1"/>
      <c r="P167" s="1"/>
      <c r="Q167" s="1"/>
      <c r="R167" s="1"/>
      <c r="S167" s="1"/>
      <c r="T167" s="1"/>
    </row>
    <row r="168" spans="14:20" x14ac:dyDescent="0.25">
      <c r="N168" s="1"/>
      <c r="O168" s="1"/>
      <c r="P168" s="1"/>
      <c r="Q168" s="1"/>
      <c r="R168" s="1"/>
      <c r="S168" s="1"/>
      <c r="T168" s="1"/>
    </row>
    <row r="169" spans="14:20" x14ac:dyDescent="0.25">
      <c r="N169" s="1"/>
      <c r="O169" s="1"/>
      <c r="P169" s="1"/>
      <c r="Q169" s="1"/>
      <c r="R169" s="1"/>
      <c r="S169" s="1"/>
      <c r="T169" s="1"/>
    </row>
    <row r="170" spans="14:20" x14ac:dyDescent="0.25">
      <c r="N170" s="1"/>
      <c r="O170" s="1"/>
      <c r="P170" s="1"/>
      <c r="Q170" s="1"/>
      <c r="R170" s="1"/>
      <c r="S170" s="1"/>
      <c r="T170" s="1"/>
    </row>
    <row r="171" spans="14:20" x14ac:dyDescent="0.25">
      <c r="N171" s="1"/>
      <c r="O171" s="1"/>
      <c r="P171" s="1"/>
      <c r="Q171" s="1"/>
      <c r="R171" s="1"/>
      <c r="S171" s="1"/>
      <c r="T171" s="1"/>
    </row>
    <row r="172" spans="14:20" x14ac:dyDescent="0.25">
      <c r="N172" s="1"/>
      <c r="O172" s="1"/>
      <c r="P172" s="1"/>
      <c r="Q172" s="1"/>
      <c r="R172" s="1"/>
      <c r="S172" s="1"/>
      <c r="T172" s="1"/>
    </row>
    <row r="173" spans="14:20" x14ac:dyDescent="0.25">
      <c r="N173" s="1"/>
      <c r="O173" s="1"/>
      <c r="P173" s="1"/>
      <c r="Q173" s="1"/>
      <c r="R173" s="1"/>
      <c r="S173" s="1"/>
      <c r="T173" s="1"/>
    </row>
    <row r="174" spans="14:20" x14ac:dyDescent="0.25">
      <c r="N174" s="1"/>
      <c r="O174" s="1"/>
      <c r="P174" s="1"/>
      <c r="Q174" s="1"/>
      <c r="R174" s="1"/>
      <c r="S174" s="1"/>
      <c r="T174" s="1"/>
    </row>
    <row r="175" spans="14:20" x14ac:dyDescent="0.25">
      <c r="N175" s="1"/>
      <c r="O175" s="1"/>
      <c r="P175" s="1"/>
      <c r="Q175" s="1"/>
      <c r="R175" s="1"/>
      <c r="S175" s="1"/>
      <c r="T175" s="1"/>
    </row>
    <row r="176" spans="14:20" x14ac:dyDescent="0.25">
      <c r="N176" s="1"/>
      <c r="O176" s="1"/>
      <c r="P176" s="1"/>
      <c r="Q176" s="1"/>
      <c r="R176" s="1"/>
      <c r="S176" s="1"/>
      <c r="T176" s="1"/>
    </row>
    <row r="177" spans="14:20" x14ac:dyDescent="0.25">
      <c r="N177" s="1"/>
      <c r="O177" s="1"/>
      <c r="P177" s="1"/>
      <c r="Q177" s="1"/>
      <c r="R177" s="1"/>
      <c r="S177" s="1"/>
      <c r="T177" s="1"/>
    </row>
    <row r="178" spans="14:20" x14ac:dyDescent="0.25">
      <c r="N178" s="1"/>
      <c r="O178" s="1"/>
      <c r="P178" s="1"/>
      <c r="Q178" s="1"/>
      <c r="R178" s="1"/>
      <c r="S178" s="1"/>
      <c r="T178" s="1"/>
    </row>
    <row r="179" spans="14:20" x14ac:dyDescent="0.25">
      <c r="N179" s="1"/>
      <c r="O179" s="1"/>
      <c r="P179" s="1"/>
      <c r="Q179" s="1"/>
      <c r="R179" s="1"/>
      <c r="S179" s="1"/>
      <c r="T179" s="1"/>
    </row>
    <row r="180" spans="14:20" x14ac:dyDescent="0.25">
      <c r="N180" s="1"/>
      <c r="O180" s="1"/>
      <c r="P180" s="1"/>
      <c r="Q180" s="1"/>
      <c r="R180" s="1"/>
      <c r="S180" s="1"/>
      <c r="T180" s="1"/>
    </row>
    <row r="181" spans="14:20" x14ac:dyDescent="0.25">
      <c r="N181" s="1"/>
      <c r="O181" s="1"/>
      <c r="P181" s="1"/>
      <c r="Q181" s="1"/>
      <c r="R181" s="1"/>
      <c r="S181" s="1"/>
      <c r="T181" s="1"/>
    </row>
    <row r="182" spans="14:20" x14ac:dyDescent="0.25">
      <c r="N182" s="1"/>
      <c r="O182" s="1"/>
      <c r="P182" s="1"/>
      <c r="Q182" s="1"/>
      <c r="R182" s="1"/>
      <c r="S182" s="1"/>
      <c r="T182" s="1"/>
    </row>
    <row r="183" spans="14:20" x14ac:dyDescent="0.25">
      <c r="N183" s="1"/>
      <c r="O183" s="1"/>
      <c r="P183" s="1"/>
      <c r="Q183" s="1"/>
      <c r="R183" s="1"/>
      <c r="S183" s="1"/>
      <c r="T183" s="1"/>
    </row>
    <row r="184" spans="14:20" x14ac:dyDescent="0.25">
      <c r="N184" s="1"/>
      <c r="O184" s="1"/>
      <c r="P184" s="1"/>
      <c r="Q184" s="1"/>
      <c r="R184" s="1"/>
      <c r="S184" s="1"/>
      <c r="T184" s="1"/>
    </row>
    <row r="185" spans="14:20" x14ac:dyDescent="0.25">
      <c r="N185" s="1"/>
      <c r="O185" s="1"/>
      <c r="P185" s="1"/>
      <c r="Q185" s="1"/>
      <c r="R185" s="1"/>
      <c r="S185" s="1"/>
      <c r="T185" s="1"/>
    </row>
    <row r="186" spans="14:20" x14ac:dyDescent="0.25">
      <c r="N186" s="1"/>
      <c r="O186" s="1"/>
      <c r="P186" s="1"/>
      <c r="Q186" s="1"/>
      <c r="R186" s="1"/>
      <c r="S186" s="1"/>
      <c r="T186" s="1"/>
    </row>
    <row r="187" spans="14:20" x14ac:dyDescent="0.25">
      <c r="N187" s="1"/>
      <c r="O187" s="1"/>
      <c r="P187" s="1"/>
      <c r="Q187" s="1"/>
      <c r="R187" s="1"/>
      <c r="S187" s="1"/>
      <c r="T187" s="1"/>
    </row>
    <row r="188" spans="14:20" x14ac:dyDescent="0.25">
      <c r="N188" s="1"/>
      <c r="O188" s="1"/>
      <c r="P188" s="1"/>
      <c r="Q188" s="1"/>
      <c r="R188" s="1"/>
      <c r="S188" s="1"/>
      <c r="T188" s="1"/>
    </row>
    <row r="189" spans="14:20" x14ac:dyDescent="0.25">
      <c r="N189" s="1"/>
      <c r="O189" s="1"/>
      <c r="P189" s="1"/>
      <c r="Q189" s="1"/>
      <c r="R189" s="1"/>
      <c r="S189" s="1"/>
      <c r="T189" s="1"/>
    </row>
    <row r="190" spans="14:20" x14ac:dyDescent="0.25">
      <c r="N190" s="1"/>
      <c r="O190" s="1"/>
      <c r="P190" s="1"/>
      <c r="Q190" s="1"/>
      <c r="R190" s="1"/>
      <c r="S190" s="1"/>
      <c r="T190" s="1"/>
    </row>
    <row r="191" spans="14:20" x14ac:dyDescent="0.25">
      <c r="N191" s="1"/>
      <c r="O191" s="1"/>
      <c r="P191" s="1"/>
      <c r="Q191" s="1"/>
      <c r="R191" s="1"/>
      <c r="S191" s="1"/>
      <c r="T191" s="1"/>
    </row>
    <row r="192" spans="14:20" x14ac:dyDescent="0.25">
      <c r="N192" s="1"/>
      <c r="O192" s="1"/>
      <c r="P192" s="1"/>
      <c r="Q192" s="1"/>
      <c r="R192" s="1"/>
      <c r="S192" s="1"/>
      <c r="T192" s="1"/>
    </row>
    <row r="193" spans="14:20" x14ac:dyDescent="0.25">
      <c r="N193" s="1"/>
      <c r="O193" s="1"/>
      <c r="P193" s="1"/>
      <c r="Q193" s="1"/>
      <c r="R193" s="1"/>
      <c r="S193" s="1"/>
      <c r="T193" s="1"/>
    </row>
    <row r="194" spans="14:20" x14ac:dyDescent="0.25">
      <c r="N194" s="1"/>
      <c r="O194" s="1"/>
      <c r="P194" s="1"/>
      <c r="Q194" s="1"/>
      <c r="R194" s="1"/>
      <c r="S194" s="1"/>
      <c r="T194" s="1"/>
    </row>
    <row r="195" spans="14:20" x14ac:dyDescent="0.25">
      <c r="N195" s="1"/>
      <c r="O195" s="1"/>
      <c r="P195" s="1"/>
      <c r="Q195" s="1"/>
      <c r="R195" s="1"/>
      <c r="S195" s="1"/>
      <c r="T195" s="1"/>
    </row>
    <row r="196" spans="14:20" x14ac:dyDescent="0.25">
      <c r="N196" s="1"/>
      <c r="O196" s="1"/>
      <c r="P196" s="1"/>
      <c r="Q196" s="1"/>
      <c r="R196" s="1"/>
      <c r="S196" s="1"/>
      <c r="T196" s="1"/>
    </row>
    <row r="197" spans="14:20" x14ac:dyDescent="0.25">
      <c r="N197" s="1"/>
      <c r="O197" s="1"/>
      <c r="P197" s="1"/>
      <c r="Q197" s="1"/>
      <c r="R197" s="1"/>
      <c r="S197" s="1"/>
      <c r="T197" s="1"/>
    </row>
    <row r="198" spans="14:20" x14ac:dyDescent="0.25">
      <c r="N198" s="1"/>
      <c r="O198" s="1"/>
      <c r="P198" s="1"/>
      <c r="Q198" s="1"/>
      <c r="R198" s="1"/>
      <c r="S198" s="1"/>
      <c r="T198" s="1"/>
    </row>
    <row r="199" spans="14:20" x14ac:dyDescent="0.25">
      <c r="N199" s="1"/>
      <c r="O199" s="1"/>
      <c r="P199" s="1"/>
      <c r="Q199" s="1"/>
      <c r="R199" s="1"/>
      <c r="S199" s="1"/>
      <c r="T199" s="1"/>
    </row>
    <row r="200" spans="14:20" x14ac:dyDescent="0.25">
      <c r="N200" s="1"/>
      <c r="O200" s="1"/>
      <c r="P200" s="1"/>
      <c r="Q200" s="1"/>
      <c r="R200" s="1"/>
      <c r="S200" s="1"/>
      <c r="T200" s="1"/>
    </row>
    <row r="201" spans="14:20" x14ac:dyDescent="0.25">
      <c r="N201" s="1"/>
      <c r="O201" s="1"/>
      <c r="P201" s="1"/>
      <c r="Q201" s="1"/>
      <c r="R201" s="1"/>
      <c r="S201" s="1"/>
      <c r="T201" s="1"/>
    </row>
    <row r="202" spans="14:20" x14ac:dyDescent="0.25">
      <c r="N202" s="1"/>
      <c r="O202" s="1"/>
      <c r="P202" s="1"/>
      <c r="Q202" s="1"/>
      <c r="R202" s="1"/>
      <c r="S202" s="1"/>
      <c r="T202" s="1"/>
    </row>
    <row r="203" spans="14:20" x14ac:dyDescent="0.25">
      <c r="N203" s="1"/>
      <c r="O203" s="1"/>
      <c r="P203" s="1"/>
      <c r="Q203" s="1"/>
      <c r="R203" s="1"/>
      <c r="S203" s="1"/>
      <c r="T203" s="1"/>
    </row>
    <row r="204" spans="14:20" x14ac:dyDescent="0.25">
      <c r="N204" s="1"/>
      <c r="O204" s="1"/>
      <c r="P204" s="1"/>
      <c r="Q204" s="1"/>
      <c r="R204" s="1"/>
      <c r="S204" s="1"/>
      <c r="T204" s="1"/>
    </row>
    <row r="205" spans="14:20" x14ac:dyDescent="0.25">
      <c r="N205" s="1"/>
      <c r="O205" s="1"/>
      <c r="P205" s="1"/>
      <c r="Q205" s="1"/>
      <c r="R205" s="1"/>
      <c r="S205" s="1"/>
      <c r="T205" s="1"/>
    </row>
    <row r="206" spans="14:20" x14ac:dyDescent="0.25">
      <c r="N206" s="1"/>
      <c r="O206" s="1"/>
      <c r="P206" s="1"/>
      <c r="Q206" s="1"/>
      <c r="R206" s="1"/>
      <c r="S206" s="1"/>
      <c r="T206" s="1"/>
    </row>
    <row r="207" spans="14:20" x14ac:dyDescent="0.25">
      <c r="N207" s="1"/>
      <c r="O207" s="1"/>
      <c r="P207" s="1"/>
      <c r="Q207" s="1"/>
      <c r="R207" s="1"/>
      <c r="S207" s="1"/>
      <c r="T207" s="1"/>
    </row>
    <row r="208" spans="14:20" x14ac:dyDescent="0.25">
      <c r="N208" s="1"/>
      <c r="O208" s="1"/>
      <c r="P208" s="1"/>
      <c r="Q208" s="1"/>
      <c r="R208" s="1"/>
      <c r="S208" s="1"/>
      <c r="T208" s="1"/>
    </row>
    <row r="209" spans="14:20" x14ac:dyDescent="0.25">
      <c r="N209" s="1"/>
      <c r="O209" s="1"/>
      <c r="P209" s="1"/>
      <c r="Q209" s="1"/>
      <c r="R209" s="1"/>
      <c r="S209" s="1"/>
      <c r="T209" s="1"/>
    </row>
    <row r="210" spans="14:20" x14ac:dyDescent="0.25">
      <c r="N210" s="1"/>
      <c r="O210" s="1"/>
      <c r="P210" s="1"/>
      <c r="Q210" s="1"/>
      <c r="R210" s="1"/>
      <c r="S210" s="1"/>
      <c r="T210" s="1"/>
    </row>
    <row r="211" spans="14:20" x14ac:dyDescent="0.25">
      <c r="N211" s="1"/>
      <c r="O211" s="1"/>
      <c r="P211" s="1"/>
      <c r="Q211" s="1"/>
      <c r="R211" s="1"/>
      <c r="S211" s="1"/>
      <c r="T211" s="1"/>
    </row>
    <row r="212" spans="14:20" x14ac:dyDescent="0.25">
      <c r="N212" s="1"/>
      <c r="O212" s="1"/>
      <c r="P212" s="1"/>
      <c r="Q212" s="1"/>
      <c r="R212" s="1"/>
      <c r="S212" s="1"/>
      <c r="T212" s="1"/>
    </row>
    <row r="213" spans="14:20" x14ac:dyDescent="0.25">
      <c r="N213" s="1"/>
      <c r="O213" s="1"/>
      <c r="P213" s="1"/>
      <c r="Q213" s="1"/>
      <c r="R213" s="1"/>
      <c r="S213" s="1"/>
      <c r="T213" s="1"/>
    </row>
    <row r="214" spans="14:20" x14ac:dyDescent="0.25">
      <c r="N214" s="1"/>
      <c r="O214" s="1"/>
      <c r="P214" s="1"/>
      <c r="Q214" s="1"/>
      <c r="R214" s="1"/>
      <c r="S214" s="1"/>
      <c r="T214" s="1"/>
    </row>
    <row r="215" spans="14:20" x14ac:dyDescent="0.25">
      <c r="N215" s="1"/>
      <c r="O215" s="1"/>
      <c r="P215" s="1"/>
      <c r="Q215" s="1"/>
      <c r="R215" s="1"/>
      <c r="S215" s="1"/>
      <c r="T215" s="1"/>
    </row>
    <row r="216" spans="14:20" x14ac:dyDescent="0.25">
      <c r="N216" s="1"/>
      <c r="O216" s="1"/>
      <c r="P216" s="1"/>
      <c r="Q216" s="1"/>
      <c r="R216" s="1"/>
      <c r="S216" s="1"/>
      <c r="T216" s="1"/>
    </row>
    <row r="217" spans="14:20" x14ac:dyDescent="0.25">
      <c r="N217" s="1"/>
      <c r="O217" s="1"/>
      <c r="P217" s="1"/>
      <c r="Q217" s="1"/>
      <c r="R217" s="1"/>
      <c r="S217" s="1"/>
      <c r="T217" s="1"/>
    </row>
    <row r="218" spans="14:20" x14ac:dyDescent="0.25">
      <c r="N218" s="1"/>
      <c r="O218" s="1"/>
      <c r="P218" s="1"/>
      <c r="Q218" s="1"/>
      <c r="R218" s="1"/>
      <c r="S218" s="1"/>
      <c r="T218" s="1"/>
    </row>
    <row r="219" spans="14:20" x14ac:dyDescent="0.25">
      <c r="N219" s="1"/>
      <c r="O219" s="1"/>
      <c r="P219" s="1"/>
      <c r="Q219" s="1"/>
      <c r="R219" s="1"/>
      <c r="S219" s="1"/>
      <c r="T219" s="1"/>
    </row>
    <row r="220" spans="14:20" x14ac:dyDescent="0.25">
      <c r="N220" s="1"/>
      <c r="O220" s="1"/>
      <c r="P220" s="1"/>
      <c r="Q220" s="1"/>
      <c r="R220" s="1"/>
      <c r="S220" s="1"/>
      <c r="T220" s="1"/>
    </row>
    <row r="221" spans="14:20" x14ac:dyDescent="0.25">
      <c r="N221" s="1"/>
      <c r="O221" s="1"/>
      <c r="P221" s="1"/>
      <c r="Q221" s="1"/>
      <c r="R221" s="1"/>
      <c r="S221" s="1"/>
      <c r="T221" s="1"/>
    </row>
    <row r="222" spans="14:20" x14ac:dyDescent="0.25">
      <c r="N222" s="1"/>
      <c r="O222" s="1"/>
      <c r="P222" s="1"/>
      <c r="Q222" s="1"/>
      <c r="R222" s="1"/>
      <c r="S222" s="1"/>
      <c r="T222" s="1"/>
    </row>
    <row r="223" spans="14:20" x14ac:dyDescent="0.25">
      <c r="N223" s="1"/>
      <c r="O223" s="1"/>
      <c r="P223" s="1"/>
      <c r="Q223" s="1"/>
      <c r="R223" s="1"/>
      <c r="S223" s="1"/>
      <c r="T223" s="1"/>
    </row>
    <row r="224" spans="14:20" x14ac:dyDescent="0.25">
      <c r="N224" s="1"/>
      <c r="O224" s="1"/>
      <c r="P224" s="1"/>
      <c r="Q224" s="1"/>
      <c r="R224" s="1"/>
      <c r="S224" s="1"/>
      <c r="T224" s="1"/>
    </row>
    <row r="225" spans="14:20" x14ac:dyDescent="0.25">
      <c r="N225" s="1"/>
      <c r="O225" s="1"/>
      <c r="P225" s="1"/>
      <c r="Q225" s="1"/>
      <c r="R225" s="1"/>
      <c r="S225" s="1"/>
      <c r="T225" s="1"/>
    </row>
    <row r="226" spans="14:20" x14ac:dyDescent="0.25">
      <c r="N226" s="1"/>
      <c r="O226" s="1"/>
      <c r="P226" s="1"/>
      <c r="Q226" s="1"/>
      <c r="R226" s="1"/>
      <c r="S226" s="1"/>
      <c r="T226" s="1"/>
    </row>
    <row r="227" spans="14:20" x14ac:dyDescent="0.25">
      <c r="N227" s="1"/>
      <c r="O227" s="1"/>
      <c r="P227" s="1"/>
      <c r="Q227" s="1"/>
      <c r="R227" s="1"/>
      <c r="S227" s="1"/>
      <c r="T227" s="1"/>
    </row>
    <row r="228" spans="14:20" x14ac:dyDescent="0.25">
      <c r="N228" s="1"/>
      <c r="O228" s="1"/>
      <c r="P228" s="1"/>
      <c r="Q228" s="1"/>
      <c r="R228" s="1"/>
      <c r="S228" s="1"/>
      <c r="T228" s="1"/>
    </row>
    <row r="229" spans="14:20" x14ac:dyDescent="0.25">
      <c r="N229" s="1"/>
      <c r="O229" s="1"/>
      <c r="P229" s="1"/>
      <c r="Q229" s="1"/>
      <c r="R229" s="1"/>
      <c r="S229" s="1"/>
      <c r="T229" s="1"/>
    </row>
    <row r="230" spans="14:20" x14ac:dyDescent="0.25">
      <c r="N230" s="1"/>
      <c r="O230" s="1"/>
      <c r="P230" s="1"/>
      <c r="Q230" s="1"/>
      <c r="R230" s="1"/>
      <c r="S230" s="1"/>
      <c r="T230" s="1"/>
    </row>
    <row r="231" spans="14:20" x14ac:dyDescent="0.25">
      <c r="N231" s="1"/>
      <c r="O231" s="1"/>
      <c r="P231" s="1"/>
      <c r="Q231" s="1"/>
      <c r="R231" s="1"/>
      <c r="S231" s="1"/>
      <c r="T231" s="1"/>
    </row>
    <row r="232" spans="14:20" x14ac:dyDescent="0.25">
      <c r="N232" s="1"/>
      <c r="O232" s="1"/>
      <c r="P232" s="1"/>
      <c r="Q232" s="1"/>
      <c r="R232" s="1"/>
      <c r="S232" s="1"/>
      <c r="T232" s="1"/>
    </row>
    <row r="233" spans="14:20" x14ac:dyDescent="0.25">
      <c r="N233" s="1"/>
      <c r="O233" s="1"/>
      <c r="P233" s="1"/>
      <c r="Q233" s="1"/>
      <c r="R233" s="1"/>
      <c r="S233" s="1"/>
      <c r="T233" s="1"/>
    </row>
    <row r="234" spans="14:20" x14ac:dyDescent="0.25">
      <c r="N234" s="1"/>
      <c r="O234" s="1"/>
      <c r="P234" s="1"/>
      <c r="Q234" s="1"/>
      <c r="R234" s="1"/>
      <c r="S234" s="1"/>
      <c r="T234" s="1"/>
    </row>
    <row r="235" spans="14:20" x14ac:dyDescent="0.25">
      <c r="N235" s="1"/>
      <c r="O235" s="1"/>
      <c r="P235" s="1"/>
      <c r="Q235" s="1"/>
      <c r="R235" s="1"/>
      <c r="S235" s="1"/>
      <c r="T235" s="1"/>
    </row>
    <row r="236" spans="14:20" x14ac:dyDescent="0.25">
      <c r="N236" s="1"/>
      <c r="O236" s="1"/>
      <c r="P236" s="1"/>
      <c r="Q236" s="1"/>
      <c r="R236" s="1"/>
      <c r="S236" s="1"/>
      <c r="T236" s="1"/>
    </row>
    <row r="237" spans="14:20" x14ac:dyDescent="0.25">
      <c r="N237" s="1"/>
      <c r="O237" s="1"/>
      <c r="P237" s="1"/>
      <c r="Q237" s="1"/>
      <c r="R237" s="1"/>
      <c r="S237" s="1"/>
      <c r="T237" s="1"/>
    </row>
    <row r="238" spans="14:20" x14ac:dyDescent="0.25">
      <c r="N238" s="1"/>
      <c r="O238" s="1"/>
      <c r="P238" s="1"/>
      <c r="Q238" s="1"/>
      <c r="R238" s="1"/>
      <c r="S238" s="1"/>
      <c r="T238" s="1"/>
    </row>
    <row r="239" spans="14:20" x14ac:dyDescent="0.25">
      <c r="N239" s="1"/>
      <c r="O239" s="1"/>
      <c r="P239" s="1"/>
      <c r="Q239" s="1"/>
      <c r="R239" s="1"/>
      <c r="S239" s="1"/>
      <c r="T239" s="1"/>
    </row>
    <row r="240" spans="14:20" x14ac:dyDescent="0.25">
      <c r="N240" s="1"/>
      <c r="O240" s="1"/>
      <c r="P240" s="1"/>
      <c r="Q240" s="1"/>
      <c r="R240" s="1"/>
      <c r="S240" s="1"/>
      <c r="T240" s="1"/>
    </row>
    <row r="241" spans="14:20" x14ac:dyDescent="0.25">
      <c r="N241" s="1"/>
      <c r="O241" s="1"/>
      <c r="P241" s="1"/>
      <c r="Q241" s="1"/>
      <c r="R241" s="1"/>
      <c r="S241" s="1"/>
      <c r="T241" s="1"/>
    </row>
    <row r="242" spans="14:20" x14ac:dyDescent="0.25">
      <c r="N242" s="1"/>
      <c r="O242" s="1"/>
      <c r="P242" s="1"/>
      <c r="Q242" s="1"/>
      <c r="R242" s="1"/>
      <c r="S242" s="1"/>
      <c r="T242" s="1"/>
    </row>
    <row r="243" spans="14:20" x14ac:dyDescent="0.25">
      <c r="N243" s="1"/>
      <c r="O243" s="1"/>
      <c r="P243" s="1"/>
      <c r="Q243" s="1"/>
      <c r="R243" s="1"/>
      <c r="S243" s="1"/>
      <c r="T243" s="1"/>
    </row>
    <row r="244" spans="14:20" x14ac:dyDescent="0.25">
      <c r="N244" s="1"/>
      <c r="O244" s="1"/>
      <c r="P244" s="1"/>
      <c r="Q244" s="1"/>
      <c r="R244" s="1"/>
      <c r="S244" s="1"/>
      <c r="T244" s="1"/>
    </row>
    <row r="245" spans="14:20" x14ac:dyDescent="0.25">
      <c r="N245" s="1"/>
      <c r="O245" s="1"/>
      <c r="P245" s="1"/>
      <c r="Q245" s="1"/>
      <c r="R245" s="1"/>
      <c r="S245" s="1"/>
      <c r="T245" s="1"/>
    </row>
    <row r="246" spans="14:20" x14ac:dyDescent="0.25">
      <c r="N246" s="1"/>
      <c r="O246" s="1"/>
      <c r="P246" s="1"/>
      <c r="Q246" s="1"/>
      <c r="R246" s="1"/>
      <c r="S246" s="1"/>
      <c r="T246" s="1"/>
    </row>
    <row r="247" spans="14:20" x14ac:dyDescent="0.25">
      <c r="N247" s="1"/>
      <c r="O247" s="1"/>
      <c r="P247" s="1"/>
      <c r="Q247" s="1"/>
      <c r="R247" s="1"/>
      <c r="S247" s="1"/>
      <c r="T247" s="1"/>
    </row>
    <row r="248" spans="14:20" x14ac:dyDescent="0.25">
      <c r="N248" s="1"/>
      <c r="O248" s="1"/>
      <c r="P248" s="1"/>
      <c r="Q248" s="1"/>
      <c r="R248" s="1"/>
      <c r="S248" s="1"/>
      <c r="T248" s="1"/>
    </row>
    <row r="249" spans="14:20" x14ac:dyDescent="0.25">
      <c r="N249" s="1"/>
      <c r="O249" s="1"/>
      <c r="P249" s="1"/>
      <c r="Q249" s="1"/>
      <c r="R249" s="1"/>
      <c r="S249" s="1"/>
      <c r="T249" s="1"/>
    </row>
    <row r="250" spans="14:20" x14ac:dyDescent="0.25">
      <c r="N250" s="1"/>
      <c r="O250" s="1"/>
      <c r="P250" s="1"/>
      <c r="Q250" s="1"/>
      <c r="R250" s="1"/>
      <c r="S250" s="1"/>
      <c r="T250" s="1"/>
    </row>
    <row r="251" spans="14:20" x14ac:dyDescent="0.25">
      <c r="N251" s="1"/>
      <c r="O251" s="1"/>
      <c r="P251" s="1"/>
      <c r="Q251" s="1"/>
      <c r="R251" s="1"/>
      <c r="S251" s="1"/>
      <c r="T251" s="1"/>
    </row>
    <row r="252" spans="14:20" x14ac:dyDescent="0.25">
      <c r="N252" s="1"/>
      <c r="O252" s="1"/>
      <c r="P252" s="1"/>
      <c r="Q252" s="1"/>
      <c r="R252" s="1"/>
      <c r="S252" s="1"/>
      <c r="T252" s="1"/>
    </row>
    <row r="253" spans="14:20" x14ac:dyDescent="0.25">
      <c r="N253" s="1"/>
      <c r="O253" s="1"/>
      <c r="P253" s="1"/>
      <c r="Q253" s="1"/>
      <c r="R253" s="1"/>
      <c r="S253" s="1"/>
      <c r="T253" s="1"/>
    </row>
    <row r="254" spans="14:20" x14ac:dyDescent="0.25">
      <c r="N254" s="1"/>
      <c r="O254" s="1"/>
      <c r="P254" s="1"/>
      <c r="Q254" s="1"/>
      <c r="R254" s="1"/>
      <c r="S254" s="1"/>
      <c r="T254" s="1"/>
    </row>
    <row r="255" spans="14:20" x14ac:dyDescent="0.25">
      <c r="N255" s="1"/>
      <c r="O255" s="1"/>
      <c r="P255" s="1"/>
      <c r="Q255" s="1"/>
      <c r="R255" s="1"/>
      <c r="S255" s="1"/>
      <c r="T255" s="1"/>
    </row>
    <row r="256" spans="14:20" x14ac:dyDescent="0.25">
      <c r="N256" s="1"/>
      <c r="O256" s="1"/>
      <c r="P256" s="1"/>
      <c r="Q256" s="1"/>
      <c r="R256" s="1"/>
      <c r="S256" s="1"/>
      <c r="T256" s="1"/>
    </row>
    <row r="257" spans="14:20" x14ac:dyDescent="0.25">
      <c r="N257" s="1"/>
      <c r="O257" s="1"/>
      <c r="P257" s="1"/>
      <c r="Q257" s="1"/>
      <c r="R257" s="1"/>
      <c r="S257" s="1"/>
      <c r="T257" s="1"/>
    </row>
    <row r="258" spans="14:20" x14ac:dyDescent="0.25">
      <c r="N258" s="1"/>
      <c r="O258" s="1"/>
      <c r="P258" s="1"/>
      <c r="Q258" s="1"/>
      <c r="R258" s="1"/>
      <c r="S258" s="1"/>
      <c r="T258" s="1"/>
    </row>
    <row r="259" spans="14:20" x14ac:dyDescent="0.25">
      <c r="N259" s="1"/>
      <c r="O259" s="1"/>
      <c r="P259" s="1"/>
      <c r="Q259" s="1"/>
      <c r="R259" s="1"/>
      <c r="S259" s="1"/>
      <c r="T259" s="1"/>
    </row>
    <row r="260" spans="14:20" x14ac:dyDescent="0.25">
      <c r="N260" s="1"/>
      <c r="O260" s="1"/>
      <c r="P260" s="1"/>
      <c r="Q260" s="1"/>
      <c r="R260" s="1"/>
      <c r="S260" s="1"/>
      <c r="T260" s="1"/>
    </row>
    <row r="261" spans="14:20" x14ac:dyDescent="0.25">
      <c r="N261" s="1"/>
      <c r="O261" s="1"/>
      <c r="P261" s="1"/>
      <c r="Q261" s="1"/>
      <c r="R261" s="1"/>
      <c r="S261" s="1"/>
      <c r="T261" s="1"/>
    </row>
    <row r="262" spans="14:20" x14ac:dyDescent="0.25">
      <c r="N262" s="1"/>
      <c r="O262" s="1"/>
      <c r="P262" s="1"/>
      <c r="Q262" s="1"/>
      <c r="R262" s="1"/>
      <c r="S262" s="1"/>
      <c r="T262" s="1"/>
    </row>
    <row r="263" spans="14:20" x14ac:dyDescent="0.25">
      <c r="N263" s="1"/>
      <c r="O263" s="1"/>
      <c r="P263" s="1"/>
      <c r="Q263" s="1"/>
      <c r="R263" s="1"/>
      <c r="S263" s="1"/>
      <c r="T263" s="1"/>
    </row>
    <row r="264" spans="14:20" x14ac:dyDescent="0.25">
      <c r="N264" s="1"/>
      <c r="O264" s="1"/>
      <c r="P264" s="1"/>
      <c r="Q264" s="1"/>
      <c r="R264" s="1"/>
      <c r="S264" s="1"/>
      <c r="T264" s="1"/>
    </row>
    <row r="265" spans="14:20" x14ac:dyDescent="0.25">
      <c r="N265" s="1"/>
      <c r="O265" s="1"/>
      <c r="P265" s="1"/>
      <c r="Q265" s="1"/>
      <c r="R265" s="1"/>
      <c r="S265" s="1"/>
      <c r="T265" s="1"/>
    </row>
    <row r="266" spans="14:20" x14ac:dyDescent="0.25">
      <c r="N266" s="1"/>
      <c r="O266" s="1"/>
      <c r="P266" s="1"/>
      <c r="Q266" s="1"/>
      <c r="R266" s="1"/>
      <c r="S266" s="1"/>
      <c r="T266" s="1"/>
    </row>
    <row r="267" spans="14:20" x14ac:dyDescent="0.25">
      <c r="N267" s="1"/>
      <c r="O267" s="1"/>
      <c r="P267" s="1"/>
      <c r="Q267" s="1"/>
      <c r="R267" s="1"/>
      <c r="S267" s="1"/>
      <c r="T267" s="1"/>
    </row>
    <row r="268" spans="14:20" x14ac:dyDescent="0.25">
      <c r="N268" s="1"/>
      <c r="O268" s="1"/>
      <c r="P268" s="1"/>
      <c r="Q268" s="1"/>
      <c r="R268" s="1"/>
      <c r="S268" s="1"/>
      <c r="T268" s="1"/>
    </row>
    <row r="269" spans="14:20" x14ac:dyDescent="0.25">
      <c r="N269" s="1"/>
      <c r="O269" s="1"/>
      <c r="P269" s="1"/>
      <c r="Q269" s="1"/>
      <c r="R269" s="1"/>
      <c r="S269" s="1"/>
      <c r="T269" s="1"/>
    </row>
    <row r="270" spans="14:20" x14ac:dyDescent="0.25">
      <c r="N270" s="1"/>
      <c r="O270" s="1"/>
      <c r="P270" s="1"/>
      <c r="Q270" s="1"/>
      <c r="R270" s="1"/>
      <c r="S270" s="1"/>
      <c r="T270" s="1"/>
    </row>
    <row r="271" spans="14:20" x14ac:dyDescent="0.25">
      <c r="N271" s="1"/>
      <c r="O271" s="1"/>
      <c r="P271" s="1"/>
      <c r="Q271" s="1"/>
      <c r="R271" s="1"/>
      <c r="S271" s="1"/>
      <c r="T271" s="1"/>
    </row>
    <row r="272" spans="14:20" x14ac:dyDescent="0.25">
      <c r="N272" s="1"/>
      <c r="O272" s="1"/>
      <c r="P272" s="1"/>
      <c r="Q272" s="1"/>
      <c r="R272" s="1"/>
      <c r="S272" s="1"/>
      <c r="T272" s="1"/>
    </row>
    <row r="273" spans="14:20" x14ac:dyDescent="0.25">
      <c r="N273" s="1"/>
      <c r="O273" s="1"/>
      <c r="P273" s="1"/>
      <c r="Q273" s="1"/>
      <c r="R273" s="1"/>
      <c r="S273" s="1"/>
      <c r="T273" s="1"/>
    </row>
    <row r="274" spans="14:20" x14ac:dyDescent="0.25">
      <c r="N274" s="1"/>
      <c r="O274" s="1"/>
      <c r="P274" s="1"/>
      <c r="Q274" s="1"/>
      <c r="R274" s="1"/>
      <c r="S274" s="1"/>
      <c r="T274" s="1"/>
    </row>
    <row r="275" spans="14:20" x14ac:dyDescent="0.25">
      <c r="N275" s="1"/>
      <c r="O275" s="1"/>
      <c r="P275" s="1"/>
      <c r="Q275" s="1"/>
      <c r="R275" s="1"/>
      <c r="S275" s="1"/>
      <c r="T275" s="1"/>
    </row>
    <row r="276" spans="14:20" x14ac:dyDescent="0.25">
      <c r="N276" s="1"/>
      <c r="O276" s="1"/>
      <c r="P276" s="1"/>
      <c r="Q276" s="1"/>
      <c r="R276" s="1"/>
      <c r="S276" s="1"/>
      <c r="T276" s="1"/>
    </row>
    <row r="277" spans="14:20" x14ac:dyDescent="0.25">
      <c r="N277" s="1"/>
      <c r="O277" s="1"/>
      <c r="P277" s="1"/>
      <c r="Q277" s="1"/>
      <c r="R277" s="1"/>
      <c r="S277" s="1"/>
      <c r="T277" s="1"/>
    </row>
    <row r="278" spans="14:20" x14ac:dyDescent="0.25">
      <c r="N278" s="1"/>
      <c r="O278" s="1"/>
      <c r="P278" s="1"/>
      <c r="Q278" s="1"/>
      <c r="R278" s="1"/>
      <c r="S278" s="1"/>
      <c r="T278" s="1"/>
    </row>
    <row r="279" spans="14:20" x14ac:dyDescent="0.25">
      <c r="N279" s="1"/>
      <c r="O279" s="1"/>
      <c r="P279" s="1"/>
      <c r="Q279" s="1"/>
      <c r="R279" s="1"/>
      <c r="S279" s="1"/>
      <c r="T279" s="1"/>
    </row>
    <row r="280" spans="14:20" x14ac:dyDescent="0.25">
      <c r="N280" s="1"/>
      <c r="O280" s="1"/>
      <c r="P280" s="1"/>
      <c r="Q280" s="1"/>
      <c r="R280" s="1"/>
      <c r="S280" s="1"/>
      <c r="T280" s="1"/>
    </row>
    <row r="281" spans="14:20" x14ac:dyDescent="0.25">
      <c r="N281" s="1"/>
      <c r="O281" s="1"/>
      <c r="P281" s="1"/>
      <c r="Q281" s="1"/>
      <c r="R281" s="1"/>
      <c r="S281" s="1"/>
      <c r="T281" s="1"/>
    </row>
    <row r="282" spans="14:20" x14ac:dyDescent="0.25">
      <c r="N282" s="1"/>
      <c r="O282" s="1"/>
      <c r="P282" s="1"/>
      <c r="Q282" s="1"/>
      <c r="R282" s="1"/>
      <c r="S282" s="1"/>
      <c r="T282" s="1"/>
    </row>
    <row r="283" spans="14:20" x14ac:dyDescent="0.25">
      <c r="N283" s="1"/>
      <c r="O283" s="1"/>
      <c r="P283" s="1"/>
      <c r="Q283" s="1"/>
      <c r="R283" s="1"/>
      <c r="S283" s="1"/>
      <c r="T283" s="1"/>
    </row>
    <row r="284" spans="14:20" x14ac:dyDescent="0.25">
      <c r="N284" s="1"/>
      <c r="O284" s="1"/>
      <c r="P284" s="1"/>
      <c r="Q284" s="1"/>
      <c r="R284" s="1"/>
      <c r="S284" s="1"/>
      <c r="T284" s="1"/>
    </row>
    <row r="285" spans="14:20" x14ac:dyDescent="0.25">
      <c r="N285" s="1"/>
      <c r="O285" s="1"/>
      <c r="P285" s="1"/>
      <c r="Q285" s="1"/>
      <c r="R285" s="1"/>
      <c r="S285" s="1"/>
      <c r="T285" s="1"/>
    </row>
    <row r="286" spans="14:20" x14ac:dyDescent="0.25">
      <c r="N286" s="1"/>
      <c r="O286" s="1"/>
      <c r="P286" s="1"/>
      <c r="Q286" s="1"/>
      <c r="R286" s="1"/>
      <c r="S286" s="1"/>
      <c r="T286" s="1"/>
    </row>
    <row r="287" spans="14:20" x14ac:dyDescent="0.25">
      <c r="N287" s="1"/>
      <c r="O287" s="1"/>
      <c r="P287" s="1"/>
      <c r="Q287" s="1"/>
      <c r="R287" s="1"/>
      <c r="S287" s="1"/>
      <c r="T287" s="1"/>
    </row>
    <row r="288" spans="14:20" x14ac:dyDescent="0.25">
      <c r="N288" s="1"/>
      <c r="O288" s="1"/>
      <c r="P288" s="1"/>
      <c r="Q288" s="1"/>
      <c r="R288" s="1"/>
      <c r="S288" s="1"/>
      <c r="T288" s="1"/>
    </row>
    <row r="289" spans="14:20" x14ac:dyDescent="0.25">
      <c r="N289" s="1"/>
      <c r="O289" s="1"/>
      <c r="P289" s="1"/>
      <c r="Q289" s="1"/>
      <c r="R289" s="1"/>
      <c r="S289" s="1"/>
      <c r="T289" s="1"/>
    </row>
    <row r="290" spans="14:20" x14ac:dyDescent="0.25">
      <c r="N290" s="1"/>
      <c r="O290" s="1"/>
      <c r="P290" s="1"/>
      <c r="Q290" s="1"/>
      <c r="R290" s="1"/>
      <c r="S290" s="1"/>
      <c r="T290" s="1"/>
    </row>
    <row r="291" spans="14:20" x14ac:dyDescent="0.25">
      <c r="N291" s="1"/>
      <c r="O291" s="1"/>
      <c r="P291" s="1"/>
      <c r="Q291" s="1"/>
      <c r="R291" s="1"/>
      <c r="S291" s="1"/>
      <c r="T291" s="1"/>
    </row>
    <row r="292" spans="14:20" x14ac:dyDescent="0.25">
      <c r="N292" s="1"/>
      <c r="O292" s="1"/>
      <c r="P292" s="1"/>
      <c r="Q292" s="1"/>
      <c r="R292" s="1"/>
      <c r="S292" s="1"/>
      <c r="T292" s="1"/>
    </row>
    <row r="293" spans="14:20" x14ac:dyDescent="0.25">
      <c r="N293" s="1"/>
      <c r="O293" s="1"/>
      <c r="P293" s="1"/>
      <c r="Q293" s="1"/>
      <c r="R293" s="1"/>
      <c r="S293" s="1"/>
      <c r="T293" s="1"/>
    </row>
    <row r="294" spans="14:20" x14ac:dyDescent="0.25">
      <c r="N294" s="1"/>
      <c r="O294" s="1"/>
      <c r="P294" s="1"/>
      <c r="Q294" s="1"/>
      <c r="R294" s="1"/>
      <c r="S294" s="1"/>
      <c r="T294" s="1"/>
    </row>
    <row r="295" spans="14:20" x14ac:dyDescent="0.25">
      <c r="N295" s="1"/>
      <c r="O295" s="1"/>
      <c r="P295" s="1"/>
      <c r="Q295" s="1"/>
      <c r="R295" s="1"/>
      <c r="S295" s="1"/>
      <c r="T295" s="1"/>
    </row>
    <row r="296" spans="14:20" x14ac:dyDescent="0.25">
      <c r="N296" s="1"/>
      <c r="O296" s="1"/>
      <c r="P296" s="1"/>
      <c r="Q296" s="1"/>
      <c r="R296" s="1"/>
      <c r="S296" s="1"/>
      <c r="T296" s="1"/>
    </row>
    <row r="297" spans="14:20" x14ac:dyDescent="0.25">
      <c r="N297" s="1"/>
      <c r="O297" s="1"/>
      <c r="P297" s="1"/>
      <c r="Q297" s="1"/>
      <c r="R297" s="1"/>
      <c r="S297" s="1"/>
      <c r="T297" s="1"/>
    </row>
    <row r="298" spans="14:20" x14ac:dyDescent="0.25">
      <c r="N298" s="1"/>
      <c r="O298" s="1"/>
      <c r="P298" s="1"/>
      <c r="Q298" s="1"/>
      <c r="R298" s="1"/>
      <c r="S298" s="1"/>
      <c r="T298" s="1"/>
    </row>
    <row r="299" spans="14:20" x14ac:dyDescent="0.25">
      <c r="N299" s="1"/>
      <c r="O299" s="1"/>
      <c r="P299" s="1"/>
      <c r="Q299" s="1"/>
      <c r="R299" s="1"/>
      <c r="S299" s="1"/>
      <c r="T299" s="1"/>
    </row>
    <row r="300" spans="14:20" x14ac:dyDescent="0.25">
      <c r="N300" s="1"/>
      <c r="O300" s="1"/>
      <c r="P300" s="1"/>
      <c r="Q300" s="1"/>
      <c r="R300" s="1"/>
      <c r="S300" s="1"/>
      <c r="T300" s="1"/>
    </row>
    <row r="301" spans="14:20" x14ac:dyDescent="0.25">
      <c r="N301" s="1"/>
      <c r="O301" s="1"/>
      <c r="P301" s="1"/>
      <c r="Q301" s="1"/>
      <c r="R301" s="1"/>
      <c r="S301" s="1"/>
      <c r="T301" s="1"/>
    </row>
    <row r="302" spans="14:20" x14ac:dyDescent="0.25">
      <c r="N302" s="1"/>
      <c r="O302" s="1"/>
      <c r="P302" s="1"/>
      <c r="Q302" s="1"/>
      <c r="R302" s="1"/>
      <c r="S302" s="1"/>
      <c r="T302" s="1"/>
    </row>
    <row r="303" spans="14:20" x14ac:dyDescent="0.25">
      <c r="N303" s="1"/>
      <c r="O303" s="1"/>
      <c r="P303" s="1"/>
      <c r="Q303" s="1"/>
      <c r="R303" s="1"/>
      <c r="S303" s="1"/>
      <c r="T303" s="1"/>
    </row>
    <row r="304" spans="14:20" x14ac:dyDescent="0.25">
      <c r="N304" s="1"/>
      <c r="O304" s="1"/>
      <c r="P304" s="1"/>
      <c r="Q304" s="1"/>
      <c r="R304" s="1"/>
      <c r="S304" s="1"/>
      <c r="T304" s="1"/>
    </row>
    <row r="305" spans="14:20" x14ac:dyDescent="0.25">
      <c r="N305" s="1"/>
      <c r="O305" s="1"/>
      <c r="P305" s="1"/>
      <c r="Q305" s="1"/>
      <c r="R305" s="1"/>
      <c r="S305" s="1"/>
      <c r="T305" s="1"/>
    </row>
    <row r="306" spans="14:20" x14ac:dyDescent="0.25">
      <c r="N306" s="1"/>
      <c r="O306" s="1"/>
      <c r="P306" s="1"/>
      <c r="Q306" s="1"/>
      <c r="R306" s="1"/>
      <c r="S306" s="1"/>
      <c r="T306" s="1"/>
    </row>
    <row r="307" spans="14:20" x14ac:dyDescent="0.25">
      <c r="N307" s="1"/>
      <c r="O307" s="1"/>
      <c r="P307" s="1"/>
      <c r="Q307" s="1"/>
      <c r="R307" s="1"/>
      <c r="S307" s="1"/>
      <c r="T307" s="1"/>
    </row>
    <row r="308" spans="14:20" x14ac:dyDescent="0.25">
      <c r="N308" s="1"/>
      <c r="O308" s="1"/>
      <c r="P308" s="1"/>
      <c r="Q308" s="1"/>
      <c r="R308" s="1"/>
      <c r="S308" s="1"/>
      <c r="T308" s="1"/>
    </row>
    <row r="309" spans="14:20" x14ac:dyDescent="0.25">
      <c r="N309" s="1"/>
      <c r="O309" s="1"/>
      <c r="P309" s="1"/>
      <c r="Q309" s="1"/>
      <c r="R309" s="1"/>
      <c r="S309" s="1"/>
      <c r="T309" s="1"/>
    </row>
    <row r="310" spans="14:20" x14ac:dyDescent="0.25">
      <c r="N310" s="1"/>
      <c r="O310" s="1"/>
      <c r="P310" s="1"/>
      <c r="Q310" s="1"/>
      <c r="R310" s="1"/>
      <c r="S310" s="1"/>
      <c r="T310" s="1"/>
    </row>
    <row r="311" spans="14:20" x14ac:dyDescent="0.25">
      <c r="N311" s="1"/>
      <c r="O311" s="1"/>
      <c r="P311" s="1"/>
      <c r="Q311" s="1"/>
      <c r="R311" s="1"/>
      <c r="S311" s="1"/>
      <c r="T311" s="1"/>
    </row>
    <row r="312" spans="14:20" x14ac:dyDescent="0.25">
      <c r="N312" s="1"/>
      <c r="O312" s="1"/>
      <c r="P312" s="1"/>
      <c r="Q312" s="1"/>
      <c r="R312" s="1"/>
      <c r="S312" s="1"/>
      <c r="T312" s="1"/>
    </row>
    <row r="313" spans="14:20" x14ac:dyDescent="0.25">
      <c r="N313" s="1"/>
      <c r="O313" s="1"/>
      <c r="P313" s="1"/>
      <c r="Q313" s="1"/>
      <c r="R313" s="1"/>
      <c r="S313" s="1"/>
      <c r="T313" s="1"/>
    </row>
    <row r="314" spans="14:20" x14ac:dyDescent="0.25">
      <c r="N314" s="1"/>
      <c r="O314" s="1"/>
      <c r="P314" s="1"/>
      <c r="Q314" s="1"/>
      <c r="R314" s="1"/>
      <c r="S314" s="1"/>
      <c r="T314" s="1"/>
    </row>
    <row r="315" spans="14:20" x14ac:dyDescent="0.25">
      <c r="N315" s="1"/>
      <c r="O315" s="1"/>
      <c r="P315" s="1"/>
      <c r="Q315" s="1"/>
      <c r="R315" s="1"/>
      <c r="S315" s="1"/>
      <c r="T315" s="1"/>
    </row>
    <row r="316" spans="14:20" x14ac:dyDescent="0.25">
      <c r="N316" s="1"/>
      <c r="O316" s="1"/>
      <c r="P316" s="1"/>
      <c r="Q316" s="1"/>
      <c r="R316" s="1"/>
      <c r="S316" s="1"/>
      <c r="T316" s="1"/>
    </row>
    <row r="317" spans="14:20" x14ac:dyDescent="0.25">
      <c r="N317" s="1"/>
      <c r="O317" s="1"/>
      <c r="P317" s="1"/>
      <c r="Q317" s="1"/>
      <c r="R317" s="1"/>
      <c r="S317" s="1"/>
      <c r="T317" s="1"/>
    </row>
    <row r="318" spans="14:20" x14ac:dyDescent="0.25">
      <c r="N318" s="1"/>
      <c r="O318" s="1"/>
      <c r="P318" s="1"/>
      <c r="Q318" s="1"/>
      <c r="R318" s="1"/>
      <c r="S318" s="1"/>
      <c r="T318" s="1"/>
    </row>
    <row r="319" spans="14:20" x14ac:dyDescent="0.25">
      <c r="N319" s="1"/>
      <c r="O319" s="1"/>
      <c r="P319" s="1"/>
      <c r="Q319" s="1"/>
      <c r="R319" s="1"/>
      <c r="S319" s="1"/>
      <c r="T319" s="1"/>
    </row>
    <row r="320" spans="14:20" x14ac:dyDescent="0.25">
      <c r="N320" s="1"/>
      <c r="O320" s="1"/>
      <c r="P320" s="1"/>
      <c r="Q320" s="1"/>
      <c r="R320" s="1"/>
      <c r="S320" s="1"/>
      <c r="T320" s="1"/>
    </row>
    <row r="321" spans="14:20" x14ac:dyDescent="0.25">
      <c r="N321" s="1"/>
      <c r="O321" s="1"/>
      <c r="P321" s="1"/>
      <c r="Q321" s="1"/>
      <c r="R321" s="1"/>
      <c r="S321" s="1"/>
      <c r="T321" s="1"/>
    </row>
    <row r="322" spans="14:20" x14ac:dyDescent="0.25">
      <c r="N322" s="1"/>
      <c r="O322" s="1"/>
      <c r="P322" s="1"/>
      <c r="Q322" s="1"/>
      <c r="R322" s="1"/>
      <c r="S322" s="1"/>
      <c r="T322" s="1"/>
    </row>
    <row r="323" spans="14:20" x14ac:dyDescent="0.25">
      <c r="N323" s="1"/>
      <c r="O323" s="1"/>
      <c r="P323" s="1"/>
      <c r="Q323" s="1"/>
      <c r="R323" s="1"/>
      <c r="S323" s="1"/>
      <c r="T323" s="1"/>
    </row>
    <row r="324" spans="14:20" x14ac:dyDescent="0.25">
      <c r="N324" s="1"/>
      <c r="O324" s="1"/>
      <c r="P324" s="1"/>
      <c r="Q324" s="1"/>
      <c r="R324" s="1"/>
      <c r="S324" s="1"/>
      <c r="T324" s="1"/>
    </row>
    <row r="325" spans="14:20" x14ac:dyDescent="0.25">
      <c r="N325" s="1"/>
      <c r="O325" s="1"/>
      <c r="P325" s="1"/>
      <c r="Q325" s="1"/>
      <c r="R325" s="1"/>
      <c r="S325" s="1"/>
      <c r="T325" s="1"/>
    </row>
    <row r="326" spans="14:20" x14ac:dyDescent="0.25">
      <c r="N326" s="1"/>
      <c r="O326" s="1"/>
      <c r="P326" s="1"/>
      <c r="Q326" s="1"/>
      <c r="R326" s="1"/>
      <c r="S326" s="1"/>
      <c r="T326" s="1"/>
    </row>
    <row r="327" spans="14:20" x14ac:dyDescent="0.25">
      <c r="N327" s="1"/>
      <c r="O327" s="1"/>
      <c r="P327" s="1"/>
      <c r="Q327" s="1"/>
      <c r="R327" s="1"/>
      <c r="S327" s="1"/>
      <c r="T327" s="1"/>
    </row>
    <row r="328" spans="14:20" x14ac:dyDescent="0.25">
      <c r="N328" s="1"/>
      <c r="O328" s="1"/>
      <c r="P328" s="1"/>
      <c r="Q328" s="1"/>
      <c r="R328" s="1"/>
      <c r="S328" s="1"/>
      <c r="T328" s="1"/>
    </row>
    <row r="329" spans="14:20" x14ac:dyDescent="0.25">
      <c r="N329" s="1"/>
      <c r="O329" s="1"/>
      <c r="P329" s="1"/>
      <c r="Q329" s="1"/>
      <c r="R329" s="1"/>
      <c r="S329" s="1"/>
      <c r="T329" s="1"/>
    </row>
    <row r="330" spans="14:20" x14ac:dyDescent="0.25">
      <c r="N330" s="1"/>
      <c r="O330" s="1"/>
      <c r="P330" s="1"/>
      <c r="Q330" s="1"/>
      <c r="R330" s="1"/>
      <c r="S330" s="1"/>
      <c r="T330" s="1"/>
    </row>
    <row r="331" spans="14:20" x14ac:dyDescent="0.25">
      <c r="N331" s="1"/>
      <c r="O331" s="1"/>
      <c r="P331" s="1"/>
      <c r="Q331" s="1"/>
      <c r="R331" s="1"/>
      <c r="S331" s="1"/>
      <c r="T331" s="1"/>
    </row>
    <row r="332" spans="14:20" x14ac:dyDescent="0.25">
      <c r="N332" s="1"/>
      <c r="O332" s="1"/>
      <c r="P332" s="1"/>
      <c r="Q332" s="1"/>
      <c r="R332" s="1"/>
      <c r="S332" s="1"/>
      <c r="T332" s="1"/>
    </row>
    <row r="333" spans="14:20" x14ac:dyDescent="0.25">
      <c r="N333" s="1"/>
      <c r="O333" s="1"/>
      <c r="P333" s="1"/>
      <c r="Q333" s="1"/>
      <c r="R333" s="1"/>
      <c r="S333" s="1"/>
      <c r="T333" s="1"/>
    </row>
    <row r="334" spans="14:20" x14ac:dyDescent="0.25">
      <c r="N334" s="1"/>
      <c r="O334" s="1"/>
      <c r="P334" s="1"/>
      <c r="Q334" s="1"/>
      <c r="R334" s="1"/>
      <c r="S334" s="1"/>
      <c r="T334" s="1"/>
    </row>
    <row r="335" spans="14:20" x14ac:dyDescent="0.25">
      <c r="N335" s="1"/>
      <c r="O335" s="1"/>
      <c r="P335" s="1"/>
      <c r="Q335" s="1"/>
      <c r="R335" s="1"/>
      <c r="S335" s="1"/>
      <c r="T335" s="1"/>
    </row>
    <row r="336" spans="14:20" x14ac:dyDescent="0.25">
      <c r="N336" s="1"/>
      <c r="O336" s="1"/>
      <c r="P336" s="1"/>
      <c r="Q336" s="1"/>
      <c r="R336" s="1"/>
      <c r="S336" s="1"/>
      <c r="T336" s="1"/>
    </row>
    <row r="337" spans="14:20" x14ac:dyDescent="0.25">
      <c r="N337" s="1"/>
      <c r="O337" s="1"/>
      <c r="P337" s="1"/>
      <c r="Q337" s="1"/>
      <c r="R337" s="1"/>
      <c r="S337" s="1"/>
      <c r="T337" s="1"/>
    </row>
    <row r="338" spans="14:20" x14ac:dyDescent="0.25">
      <c r="N338" s="1"/>
      <c r="O338" s="1"/>
      <c r="P338" s="1"/>
      <c r="Q338" s="1"/>
      <c r="R338" s="1"/>
      <c r="S338" s="1"/>
      <c r="T338" s="1"/>
    </row>
    <row r="339" spans="14:20" x14ac:dyDescent="0.25">
      <c r="N339" s="1"/>
      <c r="O339" s="1"/>
      <c r="P339" s="1"/>
      <c r="Q339" s="1"/>
      <c r="R339" s="1"/>
      <c r="S339" s="1"/>
      <c r="T339" s="1"/>
    </row>
    <row r="340" spans="14:20" x14ac:dyDescent="0.25">
      <c r="N340" s="1"/>
      <c r="O340" s="1"/>
      <c r="P340" s="1"/>
      <c r="Q340" s="1"/>
      <c r="R340" s="1"/>
      <c r="S340" s="1"/>
      <c r="T340" s="1"/>
    </row>
    <row r="341" spans="14:20" x14ac:dyDescent="0.25">
      <c r="N341" s="1"/>
      <c r="O341" s="1"/>
      <c r="P341" s="1"/>
      <c r="Q341" s="1"/>
      <c r="R341" s="1"/>
      <c r="S341" s="1"/>
      <c r="T341" s="1"/>
    </row>
    <row r="342" spans="14:20" x14ac:dyDescent="0.25">
      <c r="N342" s="1"/>
      <c r="O342" s="1"/>
      <c r="P342" s="1"/>
      <c r="Q342" s="1"/>
      <c r="R342" s="1"/>
      <c r="S342" s="1"/>
      <c r="T342" s="1"/>
    </row>
    <row r="343" spans="14:20" x14ac:dyDescent="0.25">
      <c r="N343" s="1"/>
      <c r="O343" s="1"/>
      <c r="P343" s="1"/>
      <c r="Q343" s="1"/>
      <c r="R343" s="1"/>
      <c r="S343" s="1"/>
      <c r="T343" s="1"/>
    </row>
    <row r="344" spans="14:20" x14ac:dyDescent="0.25">
      <c r="N344" s="1"/>
      <c r="O344" s="1"/>
      <c r="P344" s="1"/>
      <c r="Q344" s="1"/>
      <c r="R344" s="1"/>
      <c r="S344" s="1"/>
      <c r="T344" s="1"/>
    </row>
    <row r="345" spans="14:20" x14ac:dyDescent="0.25">
      <c r="N345" s="1"/>
      <c r="O345" s="1"/>
      <c r="P345" s="1"/>
      <c r="Q345" s="1"/>
      <c r="R345" s="1"/>
      <c r="S345" s="1"/>
      <c r="T345" s="1"/>
    </row>
    <row r="346" spans="14:20" x14ac:dyDescent="0.25">
      <c r="N346" s="1"/>
      <c r="O346" s="1"/>
      <c r="P346" s="1"/>
      <c r="Q346" s="1"/>
      <c r="R346" s="1"/>
      <c r="S346" s="1"/>
      <c r="T346" s="1"/>
    </row>
    <row r="347" spans="14:20" x14ac:dyDescent="0.25">
      <c r="N347" s="1"/>
      <c r="O347" s="1"/>
      <c r="P347" s="1"/>
      <c r="Q347" s="1"/>
      <c r="R347" s="1"/>
      <c r="S347" s="1"/>
      <c r="T347" s="1"/>
    </row>
    <row r="348" spans="14:20" x14ac:dyDescent="0.25">
      <c r="N348" s="1"/>
      <c r="O348" s="1"/>
      <c r="P348" s="1"/>
      <c r="Q348" s="1"/>
      <c r="R348" s="1"/>
      <c r="S348" s="1"/>
      <c r="T348" s="1"/>
    </row>
    <row r="349" spans="14:20" x14ac:dyDescent="0.25">
      <c r="N349" s="1"/>
      <c r="O349" s="1"/>
      <c r="P349" s="1"/>
      <c r="Q349" s="1"/>
      <c r="R349" s="1"/>
      <c r="S349" s="1"/>
      <c r="T349" s="1"/>
    </row>
    <row r="350" spans="14:20" x14ac:dyDescent="0.25">
      <c r="N350" s="1"/>
      <c r="O350" s="1"/>
      <c r="P350" s="1"/>
      <c r="Q350" s="1"/>
      <c r="R350" s="1"/>
      <c r="S350" s="1"/>
      <c r="T350" s="1"/>
    </row>
    <row r="351" spans="14:20" x14ac:dyDescent="0.25">
      <c r="N351" s="1"/>
      <c r="O351" s="1"/>
      <c r="P351" s="1"/>
      <c r="Q351" s="1"/>
      <c r="R351" s="1"/>
      <c r="S351" s="1"/>
      <c r="T351" s="1"/>
    </row>
    <row r="352" spans="14:20" x14ac:dyDescent="0.25">
      <c r="N352" s="1"/>
      <c r="O352" s="1"/>
      <c r="P352" s="1"/>
      <c r="Q352" s="1"/>
      <c r="R352" s="1"/>
      <c r="S352" s="1"/>
      <c r="T352" s="1"/>
    </row>
    <row r="353" spans="14:20" x14ac:dyDescent="0.25">
      <c r="N353" s="1"/>
      <c r="O353" s="1"/>
      <c r="P353" s="1"/>
      <c r="Q353" s="1"/>
      <c r="R353" s="1"/>
      <c r="S353" s="1"/>
      <c r="T353" s="1"/>
    </row>
    <row r="354" spans="14:20" x14ac:dyDescent="0.25">
      <c r="N354" s="1"/>
      <c r="O354" s="1"/>
      <c r="P354" s="1"/>
      <c r="Q354" s="1"/>
      <c r="R354" s="1"/>
      <c r="S354" s="1"/>
      <c r="T354" s="1"/>
    </row>
    <row r="355" spans="14:20" x14ac:dyDescent="0.25">
      <c r="N355" s="1"/>
      <c r="O355" s="1"/>
      <c r="P355" s="1"/>
      <c r="Q355" s="1"/>
      <c r="R355" s="1"/>
      <c r="S355" s="1"/>
      <c r="T355" s="1"/>
    </row>
    <row r="356" spans="14:20" x14ac:dyDescent="0.25">
      <c r="N356" s="1"/>
      <c r="O356" s="1"/>
      <c r="P356" s="1"/>
      <c r="Q356" s="1"/>
      <c r="R356" s="1"/>
      <c r="S356" s="1"/>
      <c r="T356" s="1"/>
    </row>
    <row r="357" spans="14:20" x14ac:dyDescent="0.25">
      <c r="N357" s="1"/>
      <c r="O357" s="1"/>
      <c r="P357" s="1"/>
      <c r="Q357" s="1"/>
      <c r="R357" s="1"/>
      <c r="S357" s="1"/>
      <c r="T357" s="1"/>
    </row>
    <row r="358" spans="14:20" x14ac:dyDescent="0.25">
      <c r="N358" s="1"/>
      <c r="O358" s="1"/>
      <c r="P358" s="1"/>
      <c r="Q358" s="1"/>
      <c r="R358" s="1"/>
      <c r="S358" s="1"/>
      <c r="T358" s="1"/>
    </row>
    <row r="359" spans="14:20" x14ac:dyDescent="0.25">
      <c r="N359" s="1"/>
      <c r="O359" s="1"/>
      <c r="P359" s="1"/>
      <c r="Q359" s="1"/>
      <c r="R359" s="1"/>
      <c r="S359" s="1"/>
      <c r="T359" s="1"/>
    </row>
    <row r="360" spans="14:20" x14ac:dyDescent="0.25">
      <c r="N360" s="1"/>
      <c r="O360" s="1"/>
      <c r="P360" s="1"/>
      <c r="Q360" s="1"/>
      <c r="R360" s="1"/>
      <c r="S360" s="1"/>
      <c r="T360" s="1"/>
    </row>
    <row r="361" spans="14:20" x14ac:dyDescent="0.25">
      <c r="N361" s="1"/>
      <c r="O361" s="1"/>
      <c r="P361" s="1"/>
      <c r="Q361" s="1"/>
      <c r="R361" s="1"/>
      <c r="S361" s="1"/>
      <c r="T361" s="1"/>
    </row>
    <row r="362" spans="14:20" x14ac:dyDescent="0.25">
      <c r="N362" s="1"/>
      <c r="O362" s="1"/>
      <c r="P362" s="1"/>
      <c r="Q362" s="1"/>
      <c r="R362" s="1"/>
      <c r="S362" s="1"/>
      <c r="T362" s="1"/>
    </row>
    <row r="363" spans="14:20" x14ac:dyDescent="0.25">
      <c r="N363" s="1"/>
      <c r="O363" s="1"/>
      <c r="P363" s="1"/>
      <c r="Q363" s="1"/>
      <c r="R363" s="1"/>
      <c r="S363" s="1"/>
      <c r="T363" s="1"/>
    </row>
    <row r="364" spans="14:20" x14ac:dyDescent="0.25">
      <c r="N364" s="1"/>
      <c r="O364" s="1"/>
      <c r="P364" s="1"/>
      <c r="Q364" s="1"/>
      <c r="R364" s="1"/>
      <c r="S364" s="1"/>
      <c r="T364" s="1"/>
    </row>
    <row r="365" spans="14:20" x14ac:dyDescent="0.25">
      <c r="N365" s="1"/>
      <c r="O365" s="1"/>
      <c r="P365" s="1"/>
      <c r="Q365" s="1"/>
      <c r="R365" s="1"/>
      <c r="S365" s="1"/>
      <c r="T365" s="1"/>
    </row>
    <row r="366" spans="14:20" x14ac:dyDescent="0.25">
      <c r="N366" s="1"/>
      <c r="O366" s="1"/>
      <c r="P366" s="1"/>
      <c r="Q366" s="1"/>
      <c r="R366" s="1"/>
      <c r="S366" s="1"/>
      <c r="T366" s="1"/>
    </row>
    <row r="367" spans="14:20" x14ac:dyDescent="0.25">
      <c r="N367" s="1"/>
      <c r="O367" s="1"/>
      <c r="P367" s="1"/>
      <c r="Q367" s="1"/>
      <c r="R367" s="1"/>
      <c r="S367" s="1"/>
      <c r="T367" s="1"/>
    </row>
    <row r="368" spans="14:20" x14ac:dyDescent="0.25">
      <c r="N368" s="1"/>
      <c r="O368" s="1"/>
      <c r="P368" s="1"/>
      <c r="Q368" s="1"/>
      <c r="R368" s="1"/>
      <c r="S368" s="1"/>
      <c r="T368" s="1"/>
    </row>
    <row r="369" spans="14:20" x14ac:dyDescent="0.25">
      <c r="N369" s="1"/>
      <c r="O369" s="1"/>
      <c r="P369" s="1"/>
      <c r="Q369" s="1"/>
      <c r="R369" s="1"/>
      <c r="S369" s="1"/>
      <c r="T369" s="1"/>
    </row>
    <row r="370" spans="14:20" x14ac:dyDescent="0.25">
      <c r="N370" s="1"/>
      <c r="O370" s="1"/>
      <c r="P370" s="1"/>
      <c r="Q370" s="1"/>
      <c r="R370" s="1"/>
      <c r="S370" s="1"/>
      <c r="T370" s="1"/>
    </row>
    <row r="371" spans="14:20" x14ac:dyDescent="0.25">
      <c r="N371" s="1"/>
      <c r="O371" s="1"/>
      <c r="P371" s="1"/>
      <c r="Q371" s="1"/>
      <c r="R371" s="1"/>
      <c r="S371" s="1"/>
      <c r="T371" s="1"/>
    </row>
    <row r="372" spans="14:20" x14ac:dyDescent="0.25">
      <c r="N372" s="1"/>
      <c r="O372" s="1"/>
      <c r="P372" s="1"/>
      <c r="Q372" s="1"/>
      <c r="R372" s="1"/>
      <c r="S372" s="1"/>
      <c r="T372" s="1"/>
    </row>
    <row r="373" spans="14:20" x14ac:dyDescent="0.25">
      <c r="N373" s="1"/>
      <c r="O373" s="1"/>
      <c r="P373" s="1"/>
      <c r="Q373" s="1"/>
      <c r="R373" s="1"/>
      <c r="S373" s="1"/>
      <c r="T373" s="1"/>
    </row>
    <row r="374" spans="14:20" x14ac:dyDescent="0.25">
      <c r="N374" s="1"/>
      <c r="O374" s="1"/>
      <c r="P374" s="1"/>
      <c r="Q374" s="1"/>
      <c r="R374" s="1"/>
      <c r="S374" s="1"/>
      <c r="T374" s="1"/>
    </row>
    <row r="375" spans="14:20" x14ac:dyDescent="0.25">
      <c r="N375" s="1"/>
      <c r="O375" s="1"/>
      <c r="P375" s="1"/>
      <c r="Q375" s="1"/>
      <c r="R375" s="1"/>
      <c r="S375" s="1"/>
      <c r="T375" s="1"/>
    </row>
    <row r="376" spans="14:20" x14ac:dyDescent="0.25">
      <c r="N376" s="1"/>
      <c r="O376" s="1"/>
      <c r="P376" s="1"/>
      <c r="Q376" s="1"/>
      <c r="R376" s="1"/>
      <c r="S376" s="1"/>
      <c r="T376" s="1"/>
    </row>
    <row r="377" spans="14:20" x14ac:dyDescent="0.25">
      <c r="N377" s="1"/>
      <c r="O377" s="1"/>
      <c r="P377" s="1"/>
      <c r="Q377" s="1"/>
      <c r="R377" s="1"/>
      <c r="S377" s="1"/>
      <c r="T377" s="1"/>
    </row>
    <row r="378" spans="14:20" x14ac:dyDescent="0.25">
      <c r="N378" s="1"/>
      <c r="O378" s="1"/>
      <c r="P378" s="1"/>
      <c r="Q378" s="1"/>
      <c r="R378" s="1"/>
      <c r="S378" s="1"/>
      <c r="T378" s="1"/>
    </row>
    <row r="379" spans="14:20" x14ac:dyDescent="0.25">
      <c r="N379" s="1"/>
      <c r="O379" s="1"/>
      <c r="P379" s="1"/>
      <c r="Q379" s="1"/>
      <c r="R379" s="1"/>
      <c r="S379" s="1"/>
      <c r="T379" s="1"/>
    </row>
    <row r="380" spans="14:20" x14ac:dyDescent="0.25">
      <c r="N380" s="1"/>
      <c r="O380" s="1"/>
      <c r="P380" s="1"/>
      <c r="Q380" s="1"/>
      <c r="R380" s="1"/>
      <c r="S380" s="1"/>
      <c r="T380" s="1"/>
    </row>
    <row r="381" spans="14:20" x14ac:dyDescent="0.25">
      <c r="N381" s="1"/>
      <c r="O381" s="1"/>
      <c r="P381" s="1"/>
      <c r="Q381" s="1"/>
      <c r="R381" s="1"/>
      <c r="S381" s="1"/>
      <c r="T381" s="1"/>
    </row>
    <row r="382" spans="14:20" x14ac:dyDescent="0.25">
      <c r="N382" s="1"/>
      <c r="O382" s="1"/>
      <c r="P382" s="1"/>
      <c r="Q382" s="1"/>
      <c r="R382" s="1"/>
      <c r="S382" s="1"/>
      <c r="T382" s="1"/>
    </row>
    <row r="383" spans="14:20" x14ac:dyDescent="0.25">
      <c r="N383" s="1"/>
      <c r="O383" s="1"/>
      <c r="P383" s="1"/>
      <c r="Q383" s="1"/>
      <c r="R383" s="1"/>
      <c r="S383" s="1"/>
      <c r="T383" s="1"/>
    </row>
    <row r="384" spans="14:20" x14ac:dyDescent="0.25">
      <c r="N384" s="1"/>
      <c r="O384" s="1"/>
      <c r="P384" s="1"/>
      <c r="Q384" s="1"/>
      <c r="R384" s="1"/>
      <c r="S384" s="1"/>
      <c r="T384" s="1"/>
    </row>
    <row r="385" spans="14:20" x14ac:dyDescent="0.25">
      <c r="N385" s="1"/>
      <c r="O385" s="1"/>
      <c r="P385" s="1"/>
      <c r="Q385" s="1"/>
      <c r="R385" s="1"/>
      <c r="S385" s="1"/>
      <c r="T385" s="1"/>
    </row>
    <row r="386" spans="14:20" x14ac:dyDescent="0.25">
      <c r="N386" s="1"/>
      <c r="O386" s="1"/>
      <c r="P386" s="1"/>
      <c r="Q386" s="1"/>
      <c r="R386" s="1"/>
      <c r="S386" s="1"/>
      <c r="T386" s="1"/>
    </row>
    <row r="387" spans="14:20" x14ac:dyDescent="0.25">
      <c r="N387" s="1"/>
      <c r="O387" s="1"/>
      <c r="P387" s="1"/>
      <c r="Q387" s="1"/>
      <c r="R387" s="1"/>
      <c r="S387" s="1"/>
      <c r="T387" s="1"/>
    </row>
    <row r="388" spans="14:20" x14ac:dyDescent="0.25">
      <c r="N388" s="1"/>
      <c r="O388" s="1"/>
      <c r="P388" s="1"/>
      <c r="Q388" s="1"/>
      <c r="R388" s="1"/>
      <c r="S388" s="1"/>
      <c r="T388" s="1"/>
    </row>
    <row r="389" spans="14:20" x14ac:dyDescent="0.25">
      <c r="N389" s="1"/>
      <c r="O389" s="1"/>
      <c r="P389" s="1"/>
      <c r="Q389" s="1"/>
      <c r="R389" s="1"/>
      <c r="S389" s="1"/>
      <c r="T389" s="1"/>
    </row>
    <row r="390" spans="14:20" x14ac:dyDescent="0.25">
      <c r="N390" s="1"/>
      <c r="O390" s="1"/>
      <c r="P390" s="1"/>
      <c r="Q390" s="1"/>
      <c r="R390" s="1"/>
      <c r="S390" s="1"/>
      <c r="T390" s="1"/>
    </row>
    <row r="391" spans="14:20" x14ac:dyDescent="0.25">
      <c r="N391" s="1"/>
      <c r="O391" s="1"/>
      <c r="P391" s="1"/>
      <c r="Q391" s="1"/>
      <c r="R391" s="1"/>
      <c r="S391" s="1"/>
      <c r="T391" s="1"/>
    </row>
    <row r="392" spans="14:20" x14ac:dyDescent="0.25">
      <c r="N392" s="1"/>
      <c r="O392" s="1"/>
      <c r="P392" s="1"/>
      <c r="Q392" s="1"/>
      <c r="R392" s="1"/>
      <c r="S392" s="1"/>
      <c r="T392" s="1"/>
    </row>
    <row r="393" spans="14:20" x14ac:dyDescent="0.25">
      <c r="N393" s="1"/>
      <c r="O393" s="1"/>
      <c r="P393" s="1"/>
      <c r="Q393" s="1"/>
      <c r="R393" s="1"/>
      <c r="S393" s="1"/>
      <c r="T393" s="1"/>
    </row>
    <row r="394" spans="14:20" x14ac:dyDescent="0.25">
      <c r="N394" s="1"/>
      <c r="O394" s="1"/>
      <c r="P394" s="1"/>
      <c r="Q394" s="1"/>
      <c r="R394" s="1"/>
      <c r="S394" s="1"/>
      <c r="T394" s="1"/>
    </row>
    <row r="395" spans="14:20" x14ac:dyDescent="0.25">
      <c r="N395" s="1"/>
      <c r="O395" s="1"/>
      <c r="P395" s="1"/>
      <c r="Q395" s="1"/>
      <c r="R395" s="1"/>
      <c r="S395" s="1"/>
      <c r="T395" s="1"/>
    </row>
    <row r="396" spans="14:20" x14ac:dyDescent="0.25">
      <c r="N396" s="1"/>
      <c r="O396" s="1"/>
      <c r="P396" s="1"/>
      <c r="Q396" s="1"/>
      <c r="R396" s="1"/>
      <c r="S396" s="1"/>
      <c r="T396" s="1"/>
    </row>
    <row r="397" spans="14:20" x14ac:dyDescent="0.25">
      <c r="N397" s="1"/>
      <c r="O397" s="1"/>
      <c r="P397" s="1"/>
      <c r="Q397" s="1"/>
      <c r="R397" s="1"/>
      <c r="S397" s="1"/>
      <c r="T397" s="1"/>
    </row>
    <row r="398" spans="14:20" x14ac:dyDescent="0.25">
      <c r="N398" s="1"/>
      <c r="O398" s="1"/>
      <c r="P398" s="1"/>
      <c r="Q398" s="1"/>
      <c r="R398" s="1"/>
      <c r="S398" s="1"/>
      <c r="T398" s="1"/>
    </row>
    <row r="399" spans="14:20" x14ac:dyDescent="0.25">
      <c r="N399" s="1"/>
      <c r="O399" s="1"/>
      <c r="P399" s="1"/>
      <c r="Q399" s="1"/>
      <c r="R399" s="1"/>
      <c r="S399" s="1"/>
      <c r="T399" s="1"/>
    </row>
    <row r="400" spans="14:20" x14ac:dyDescent="0.25">
      <c r="N400" s="1"/>
      <c r="O400" s="1"/>
      <c r="P400" s="1"/>
      <c r="Q400" s="1"/>
      <c r="R400" s="1"/>
      <c r="S400" s="1"/>
      <c r="T400" s="1"/>
    </row>
    <row r="401" spans="14:20" x14ac:dyDescent="0.25">
      <c r="N401" s="1"/>
      <c r="O401" s="1"/>
      <c r="P401" s="1"/>
      <c r="Q401" s="1"/>
      <c r="R401" s="1"/>
      <c r="S401" s="1"/>
      <c r="T401" s="1"/>
    </row>
    <row r="402" spans="14:20" x14ac:dyDescent="0.25">
      <c r="N402" s="1"/>
      <c r="O402" s="1"/>
      <c r="P402" s="1"/>
      <c r="Q402" s="1"/>
      <c r="R402" s="1"/>
      <c r="S402" s="1"/>
      <c r="T402" s="1"/>
    </row>
    <row r="403" spans="14:20" x14ac:dyDescent="0.25">
      <c r="N403" s="1"/>
      <c r="O403" s="1"/>
      <c r="P403" s="1"/>
      <c r="Q403" s="1"/>
      <c r="R403" s="1"/>
      <c r="S403" s="1"/>
      <c r="T403" s="1"/>
    </row>
    <row r="404" spans="14:20" x14ac:dyDescent="0.25">
      <c r="N404" s="1"/>
      <c r="O404" s="1"/>
      <c r="P404" s="1"/>
      <c r="Q404" s="1"/>
      <c r="R404" s="1"/>
      <c r="S404" s="1"/>
      <c r="T404" s="1"/>
    </row>
    <row r="405" spans="14:20" x14ac:dyDescent="0.25">
      <c r="N405" s="1"/>
      <c r="O405" s="1"/>
      <c r="P405" s="1"/>
      <c r="Q405" s="1"/>
      <c r="R405" s="1"/>
      <c r="S405" s="1"/>
      <c r="T405" s="1"/>
    </row>
    <row r="406" spans="14:20" x14ac:dyDescent="0.25">
      <c r="N406" s="1"/>
      <c r="O406" s="1"/>
      <c r="P406" s="1"/>
      <c r="Q406" s="1"/>
      <c r="R406" s="1"/>
      <c r="S406" s="1"/>
      <c r="T406" s="1"/>
    </row>
    <row r="407" spans="14:20" x14ac:dyDescent="0.25">
      <c r="N407" s="1"/>
      <c r="O407" s="1"/>
      <c r="P407" s="1"/>
      <c r="Q407" s="1"/>
      <c r="R407" s="1"/>
      <c r="S407" s="1"/>
      <c r="T407" s="1"/>
    </row>
    <row r="408" spans="14:20" x14ac:dyDescent="0.25">
      <c r="N408" s="1"/>
      <c r="O408" s="1"/>
      <c r="P408" s="1"/>
      <c r="Q408" s="1"/>
      <c r="R408" s="1"/>
      <c r="S408" s="1"/>
      <c r="T408" s="1"/>
    </row>
    <row r="409" spans="14:20" x14ac:dyDescent="0.25">
      <c r="N409" s="1"/>
      <c r="O409" s="1"/>
      <c r="P409" s="1"/>
      <c r="Q409" s="1"/>
      <c r="R409" s="1"/>
      <c r="S409" s="1"/>
      <c r="T409" s="1"/>
    </row>
    <row r="410" spans="14:20" x14ac:dyDescent="0.25">
      <c r="N410" s="1"/>
      <c r="O410" s="1"/>
      <c r="P410" s="1"/>
      <c r="Q410" s="1"/>
      <c r="R410" s="1"/>
      <c r="S410" s="1"/>
      <c r="T410" s="1"/>
    </row>
    <row r="411" spans="14:20" x14ac:dyDescent="0.25">
      <c r="N411" s="1"/>
      <c r="O411" s="1"/>
      <c r="P411" s="1"/>
      <c r="Q411" s="1"/>
      <c r="R411" s="1"/>
      <c r="S411" s="1"/>
      <c r="T411" s="1"/>
    </row>
    <row r="412" spans="14:20" x14ac:dyDescent="0.25">
      <c r="N412" s="1"/>
      <c r="O412" s="1"/>
      <c r="P412" s="1"/>
      <c r="Q412" s="1"/>
      <c r="R412" s="1"/>
      <c r="S412" s="1"/>
      <c r="T412" s="1"/>
    </row>
    <row r="413" spans="14:20" x14ac:dyDescent="0.25">
      <c r="N413" s="1"/>
      <c r="O413" s="1"/>
      <c r="P413" s="1"/>
      <c r="Q413" s="1"/>
      <c r="R413" s="1"/>
      <c r="S413" s="1"/>
      <c r="T413" s="1"/>
    </row>
    <row r="414" spans="14:20" x14ac:dyDescent="0.25">
      <c r="N414" s="1"/>
      <c r="O414" s="1"/>
      <c r="P414" s="1"/>
      <c r="Q414" s="1"/>
      <c r="R414" s="1"/>
      <c r="S414" s="1"/>
      <c r="T414" s="1"/>
    </row>
    <row r="415" spans="14:20" x14ac:dyDescent="0.25">
      <c r="N415" s="1"/>
      <c r="O415" s="1"/>
      <c r="P415" s="1"/>
      <c r="Q415" s="1"/>
      <c r="R415" s="1"/>
      <c r="S415" s="1"/>
      <c r="T415" s="1"/>
    </row>
    <row r="416" spans="14:20" x14ac:dyDescent="0.25">
      <c r="N416" s="1"/>
      <c r="O416" s="1"/>
      <c r="P416" s="1"/>
      <c r="Q416" s="1"/>
      <c r="R416" s="1"/>
      <c r="S416" s="1"/>
      <c r="T416" s="1"/>
    </row>
    <row r="417" spans="14:20" x14ac:dyDescent="0.25">
      <c r="N417" s="1"/>
      <c r="O417" s="1"/>
      <c r="P417" s="1"/>
      <c r="Q417" s="1"/>
      <c r="R417" s="1"/>
      <c r="S417" s="1"/>
      <c r="T417" s="1"/>
    </row>
    <row r="418" spans="14:20" x14ac:dyDescent="0.25">
      <c r="N418" s="1"/>
      <c r="O418" s="1"/>
      <c r="P418" s="1"/>
      <c r="Q418" s="1"/>
      <c r="R418" s="1"/>
      <c r="S418" s="1"/>
      <c r="T418" s="1"/>
    </row>
    <row r="419" spans="14:20" x14ac:dyDescent="0.25">
      <c r="N419" s="1"/>
      <c r="O419" s="1"/>
      <c r="P419" s="1"/>
      <c r="Q419" s="1"/>
      <c r="R419" s="1"/>
      <c r="S419" s="1"/>
      <c r="T419" s="1"/>
    </row>
    <row r="420" spans="14:20" x14ac:dyDescent="0.25">
      <c r="N420" s="1"/>
      <c r="O420" s="1"/>
      <c r="P420" s="1"/>
      <c r="Q420" s="1"/>
      <c r="R420" s="1"/>
      <c r="S420" s="1"/>
      <c r="T420" s="1"/>
    </row>
    <row r="421" spans="14:20" x14ac:dyDescent="0.25">
      <c r="N421" s="1"/>
      <c r="O421" s="1"/>
      <c r="P421" s="1"/>
      <c r="Q421" s="1"/>
      <c r="R421" s="1"/>
      <c r="S421" s="1"/>
      <c r="T421" s="1"/>
    </row>
    <row r="422" spans="14:20" x14ac:dyDescent="0.25">
      <c r="N422" s="1"/>
      <c r="O422" s="1"/>
      <c r="P422" s="1"/>
      <c r="Q422" s="1"/>
      <c r="R422" s="1"/>
      <c r="S422" s="1"/>
      <c r="T422" s="1"/>
    </row>
    <row r="423" spans="14:20" x14ac:dyDescent="0.25">
      <c r="N423" s="1"/>
      <c r="O423" s="1"/>
      <c r="P423" s="1"/>
      <c r="Q423" s="1"/>
      <c r="R423" s="1"/>
      <c r="S423" s="1"/>
      <c r="T423" s="1"/>
    </row>
    <row r="424" spans="14:20" x14ac:dyDescent="0.25">
      <c r="N424" s="1"/>
      <c r="O424" s="1"/>
      <c r="P424" s="1"/>
      <c r="Q424" s="1"/>
      <c r="R424" s="1"/>
      <c r="S424" s="1"/>
      <c r="T424" s="1"/>
    </row>
    <row r="425" spans="14:20" x14ac:dyDescent="0.25">
      <c r="N425" s="1"/>
      <c r="O425" s="1"/>
      <c r="P425" s="1"/>
      <c r="Q425" s="1"/>
      <c r="R425" s="1"/>
      <c r="S425" s="1"/>
      <c r="T425" s="1"/>
    </row>
    <row r="426" spans="14:20" x14ac:dyDescent="0.25">
      <c r="N426" s="1"/>
      <c r="O426" s="1"/>
      <c r="P426" s="1"/>
      <c r="Q426" s="1"/>
      <c r="R426" s="1"/>
      <c r="S426" s="1"/>
      <c r="T426" s="1"/>
    </row>
    <row r="427" spans="14:20" x14ac:dyDescent="0.25">
      <c r="N427" s="1"/>
      <c r="O427" s="1"/>
      <c r="P427" s="1"/>
      <c r="Q427" s="1"/>
      <c r="R427" s="1"/>
      <c r="S427" s="1"/>
      <c r="T427" s="1"/>
    </row>
    <row r="428" spans="14:20" x14ac:dyDescent="0.25">
      <c r="N428" s="1"/>
      <c r="O428" s="1"/>
      <c r="P428" s="1"/>
      <c r="Q428" s="1"/>
      <c r="R428" s="1"/>
      <c r="S428" s="1"/>
      <c r="T428" s="1"/>
    </row>
    <row r="429" spans="14:20" x14ac:dyDescent="0.25">
      <c r="N429" s="1"/>
      <c r="O429" s="1"/>
      <c r="P429" s="1"/>
      <c r="Q429" s="1"/>
      <c r="R429" s="1"/>
      <c r="S429" s="1"/>
      <c r="T429" s="1"/>
    </row>
    <row r="430" spans="14:20" x14ac:dyDescent="0.25">
      <c r="N430" s="1"/>
      <c r="O430" s="1"/>
      <c r="P430" s="1"/>
      <c r="Q430" s="1"/>
      <c r="R430" s="1"/>
      <c r="S430" s="1"/>
      <c r="T430" s="1"/>
    </row>
    <row r="431" spans="14:20" x14ac:dyDescent="0.25">
      <c r="N431" s="1"/>
      <c r="O431" s="1"/>
      <c r="P431" s="1"/>
      <c r="Q431" s="1"/>
      <c r="R431" s="1"/>
      <c r="S431" s="1"/>
      <c r="T431" s="1"/>
    </row>
    <row r="432" spans="14:20" x14ac:dyDescent="0.25">
      <c r="N432" s="1"/>
      <c r="O432" s="1"/>
      <c r="P432" s="1"/>
      <c r="Q432" s="1"/>
      <c r="R432" s="1"/>
      <c r="S432" s="1"/>
      <c r="T432" s="1"/>
    </row>
    <row r="433" spans="14:20" x14ac:dyDescent="0.25">
      <c r="N433" s="1"/>
      <c r="O433" s="1"/>
      <c r="P433" s="1"/>
      <c r="Q433" s="1"/>
      <c r="R433" s="1"/>
      <c r="S433" s="1"/>
      <c r="T433" s="1"/>
    </row>
    <row r="434" spans="14:20" x14ac:dyDescent="0.25">
      <c r="N434" s="1"/>
      <c r="O434" s="1"/>
      <c r="P434" s="1"/>
      <c r="Q434" s="1"/>
      <c r="R434" s="1"/>
      <c r="S434" s="1"/>
      <c r="T434" s="1"/>
    </row>
    <row r="435" spans="14:20" x14ac:dyDescent="0.25">
      <c r="N435" s="1"/>
      <c r="O435" s="1"/>
      <c r="P435" s="1"/>
      <c r="Q435" s="1"/>
      <c r="R435" s="1"/>
      <c r="S435" s="1"/>
      <c r="T435" s="1"/>
    </row>
    <row r="436" spans="14:20" x14ac:dyDescent="0.25">
      <c r="N436" s="1"/>
      <c r="O436" s="1"/>
      <c r="P436" s="1"/>
      <c r="Q436" s="1"/>
      <c r="R436" s="1"/>
      <c r="S436" s="1"/>
      <c r="T436" s="1"/>
    </row>
    <row r="437" spans="14:20" x14ac:dyDescent="0.25">
      <c r="N437" s="1"/>
      <c r="O437" s="1"/>
      <c r="P437" s="1"/>
      <c r="Q437" s="1"/>
      <c r="R437" s="1"/>
      <c r="S437" s="1"/>
      <c r="T437" s="1"/>
    </row>
    <row r="438" spans="14:20" x14ac:dyDescent="0.25">
      <c r="N438" s="1"/>
      <c r="O438" s="1"/>
      <c r="P438" s="1"/>
      <c r="Q438" s="1"/>
      <c r="R438" s="1"/>
      <c r="S438" s="1"/>
      <c r="T438" s="1"/>
    </row>
    <row r="439" spans="14:20" x14ac:dyDescent="0.25">
      <c r="N439" s="1"/>
      <c r="O439" s="1"/>
      <c r="P439" s="1"/>
      <c r="Q439" s="1"/>
      <c r="R439" s="1"/>
      <c r="S439" s="1"/>
      <c r="T439" s="1"/>
    </row>
    <row r="440" spans="14:20" x14ac:dyDescent="0.25">
      <c r="N440" s="1"/>
      <c r="O440" s="1"/>
      <c r="P440" s="1"/>
      <c r="Q440" s="1"/>
      <c r="R440" s="1"/>
      <c r="S440" s="1"/>
      <c r="T440" s="1"/>
    </row>
    <row r="441" spans="14:20" x14ac:dyDescent="0.25">
      <c r="N441" s="1"/>
      <c r="O441" s="1"/>
      <c r="P441" s="1"/>
      <c r="Q441" s="1"/>
      <c r="R441" s="1"/>
      <c r="S441" s="1"/>
      <c r="T441" s="1"/>
    </row>
    <row r="442" spans="14:20" x14ac:dyDescent="0.25">
      <c r="N442" s="1"/>
      <c r="O442" s="1"/>
      <c r="P442" s="1"/>
      <c r="Q442" s="1"/>
      <c r="R442" s="1"/>
      <c r="S442" s="1"/>
      <c r="T442" s="1"/>
    </row>
    <row r="443" spans="14:20" x14ac:dyDescent="0.25">
      <c r="N443" s="1"/>
      <c r="O443" s="1"/>
      <c r="P443" s="1"/>
      <c r="Q443" s="1"/>
      <c r="R443" s="1"/>
      <c r="S443" s="1"/>
      <c r="T443" s="1"/>
    </row>
    <row r="444" spans="14:20" x14ac:dyDescent="0.25">
      <c r="N444" s="1"/>
      <c r="O444" s="1"/>
      <c r="P444" s="1"/>
      <c r="Q444" s="1"/>
      <c r="R444" s="1"/>
      <c r="S444" s="1"/>
      <c r="T444" s="1"/>
    </row>
    <row r="445" spans="14:20" x14ac:dyDescent="0.25">
      <c r="N445" s="1"/>
      <c r="O445" s="1"/>
      <c r="P445" s="1"/>
      <c r="Q445" s="1"/>
      <c r="R445" s="1"/>
      <c r="S445" s="1"/>
      <c r="T445" s="1"/>
    </row>
    <row r="446" spans="14:20" x14ac:dyDescent="0.25">
      <c r="N446" s="1"/>
      <c r="O446" s="1"/>
      <c r="P446" s="1"/>
      <c r="Q446" s="1"/>
      <c r="R446" s="1"/>
      <c r="S446" s="1"/>
      <c r="T446" s="1"/>
    </row>
    <row r="447" spans="14:20" x14ac:dyDescent="0.25">
      <c r="N447" s="1"/>
      <c r="O447" s="1"/>
      <c r="P447" s="1"/>
      <c r="Q447" s="1"/>
      <c r="R447" s="1"/>
      <c r="S447" s="1"/>
      <c r="T447" s="1"/>
    </row>
    <row r="448" spans="14:20" x14ac:dyDescent="0.25">
      <c r="N448" s="1"/>
      <c r="O448" s="1"/>
      <c r="P448" s="1"/>
      <c r="Q448" s="1"/>
      <c r="R448" s="1"/>
      <c r="S448" s="1"/>
      <c r="T448" s="1"/>
    </row>
    <row r="449" spans="14:20" x14ac:dyDescent="0.25">
      <c r="N449" s="1"/>
      <c r="O449" s="1"/>
      <c r="P449" s="1"/>
      <c r="Q449" s="1"/>
      <c r="R449" s="1"/>
      <c r="S449" s="1"/>
      <c r="T449" s="1"/>
    </row>
    <row r="450" spans="14:20" x14ac:dyDescent="0.25">
      <c r="N450" s="1"/>
      <c r="O450" s="1"/>
      <c r="P450" s="1"/>
      <c r="Q450" s="1"/>
      <c r="R450" s="1"/>
      <c r="S450" s="1"/>
      <c r="T450" s="1"/>
    </row>
    <row r="451" spans="14:20" x14ac:dyDescent="0.25">
      <c r="N451" s="1"/>
      <c r="O451" s="1"/>
      <c r="P451" s="1"/>
      <c r="Q451" s="1"/>
      <c r="R451" s="1"/>
      <c r="S451" s="1"/>
      <c r="T451" s="1"/>
    </row>
    <row r="452" spans="14:20" x14ac:dyDescent="0.25">
      <c r="N452" s="1"/>
      <c r="O452" s="1"/>
      <c r="P452" s="1"/>
      <c r="Q452" s="1"/>
      <c r="R452" s="1"/>
      <c r="S452" s="1"/>
      <c r="T452" s="1"/>
    </row>
    <row r="453" spans="14:20" x14ac:dyDescent="0.25">
      <c r="N453" s="1"/>
      <c r="O453" s="1"/>
      <c r="P453" s="1"/>
      <c r="Q453" s="1"/>
      <c r="R453" s="1"/>
      <c r="S453" s="1"/>
      <c r="T453" s="1"/>
    </row>
    <row r="454" spans="14:20" x14ac:dyDescent="0.25">
      <c r="N454" s="1"/>
      <c r="O454" s="1"/>
      <c r="P454" s="1"/>
      <c r="Q454" s="1"/>
      <c r="R454" s="1"/>
      <c r="S454" s="1"/>
      <c r="T454" s="1"/>
    </row>
    <row r="455" spans="14:20" x14ac:dyDescent="0.25">
      <c r="N455" s="1"/>
      <c r="O455" s="1"/>
      <c r="P455" s="1"/>
      <c r="Q455" s="1"/>
      <c r="R455" s="1"/>
      <c r="S455" s="1"/>
      <c r="T455" s="1"/>
    </row>
    <row r="456" spans="14:20" x14ac:dyDescent="0.25">
      <c r="N456" s="1"/>
      <c r="O456" s="1"/>
      <c r="P456" s="1"/>
      <c r="Q456" s="1"/>
      <c r="R456" s="1"/>
      <c r="S456" s="1"/>
      <c r="T456" s="1"/>
    </row>
    <row r="457" spans="14:20" x14ac:dyDescent="0.25">
      <c r="N457" s="1"/>
      <c r="O457" s="1"/>
      <c r="P457" s="1"/>
      <c r="Q457" s="1"/>
      <c r="R457" s="1"/>
      <c r="S457" s="1"/>
      <c r="T457" s="1"/>
    </row>
    <row r="458" spans="14:20" x14ac:dyDescent="0.25">
      <c r="N458" s="1"/>
      <c r="O458" s="1"/>
      <c r="P458" s="1"/>
      <c r="Q458" s="1"/>
      <c r="R458" s="1"/>
      <c r="S458" s="1"/>
      <c r="T458" s="1"/>
    </row>
    <row r="459" spans="14:20" x14ac:dyDescent="0.25">
      <c r="N459" s="1"/>
      <c r="O459" s="1"/>
      <c r="P459" s="1"/>
      <c r="Q459" s="1"/>
      <c r="R459" s="1"/>
      <c r="S459" s="1"/>
      <c r="T459" s="1"/>
    </row>
    <row r="460" spans="14:20" x14ac:dyDescent="0.25">
      <c r="N460" s="1"/>
      <c r="O460" s="1"/>
      <c r="P460" s="1"/>
      <c r="Q460" s="1"/>
      <c r="R460" s="1"/>
      <c r="S460" s="1"/>
      <c r="T460" s="1"/>
    </row>
    <row r="461" spans="14:20" x14ac:dyDescent="0.25">
      <c r="N461" s="1"/>
      <c r="O461" s="1"/>
      <c r="P461" s="1"/>
      <c r="Q461" s="1"/>
      <c r="R461" s="1"/>
      <c r="S461" s="1"/>
      <c r="T461" s="1"/>
    </row>
    <row r="462" spans="14:20" x14ac:dyDescent="0.25">
      <c r="N462" s="1"/>
      <c r="O462" s="1"/>
      <c r="P462" s="1"/>
      <c r="Q462" s="1"/>
      <c r="R462" s="1"/>
      <c r="S462" s="1"/>
      <c r="T462" s="1"/>
    </row>
    <row r="463" spans="14:20" x14ac:dyDescent="0.25">
      <c r="N463" s="1"/>
      <c r="O463" s="1"/>
      <c r="P463" s="1"/>
      <c r="Q463" s="1"/>
      <c r="R463" s="1"/>
      <c r="S463" s="1"/>
      <c r="T463" s="1"/>
    </row>
    <row r="464" spans="14:20" x14ac:dyDescent="0.25">
      <c r="N464" s="1"/>
      <c r="O464" s="1"/>
      <c r="P464" s="1"/>
      <c r="Q464" s="1"/>
      <c r="R464" s="1"/>
      <c r="S464" s="1"/>
      <c r="T464" s="1"/>
    </row>
    <row r="465" spans="14:20" x14ac:dyDescent="0.25">
      <c r="N465" s="1"/>
      <c r="O465" s="1"/>
      <c r="P465" s="1"/>
      <c r="Q465" s="1"/>
      <c r="R465" s="1"/>
      <c r="S465" s="1"/>
      <c r="T465" s="1"/>
    </row>
    <row r="466" spans="14:20" x14ac:dyDescent="0.25">
      <c r="N466" s="1"/>
      <c r="O466" s="1"/>
      <c r="P466" s="1"/>
      <c r="Q466" s="1"/>
      <c r="R466" s="1"/>
      <c r="S466" s="1"/>
      <c r="T466" s="1"/>
    </row>
    <row r="467" spans="14:20" x14ac:dyDescent="0.25">
      <c r="N467" s="1"/>
      <c r="O467" s="1"/>
      <c r="P467" s="1"/>
      <c r="Q467" s="1"/>
      <c r="R467" s="1"/>
      <c r="S467" s="1"/>
      <c r="T467" s="1"/>
    </row>
    <row r="468" spans="14:20" x14ac:dyDescent="0.25">
      <c r="N468" s="1"/>
      <c r="O468" s="1"/>
      <c r="P468" s="1"/>
      <c r="Q468" s="1"/>
      <c r="R468" s="1"/>
      <c r="S468" s="1"/>
      <c r="T468" s="1"/>
    </row>
    <row r="469" spans="14:20" x14ac:dyDescent="0.25">
      <c r="N469" s="1"/>
      <c r="O469" s="1"/>
      <c r="P469" s="1"/>
      <c r="Q469" s="1"/>
      <c r="R469" s="1"/>
      <c r="S469" s="1"/>
      <c r="T469" s="1"/>
    </row>
    <row r="470" spans="14:20" x14ac:dyDescent="0.25">
      <c r="N470" s="1"/>
      <c r="O470" s="1"/>
      <c r="P470" s="1"/>
      <c r="Q470" s="1"/>
      <c r="R470" s="1"/>
      <c r="S470" s="1"/>
      <c r="T470" s="1"/>
    </row>
    <row r="471" spans="14:20" x14ac:dyDescent="0.25">
      <c r="N471" s="1"/>
      <c r="O471" s="1"/>
      <c r="P471" s="1"/>
      <c r="Q471" s="1"/>
      <c r="R471" s="1"/>
      <c r="S471" s="1"/>
      <c r="T471" s="1"/>
    </row>
    <row r="472" spans="14:20" x14ac:dyDescent="0.25">
      <c r="N472" s="1"/>
      <c r="O472" s="1"/>
      <c r="P472" s="1"/>
      <c r="Q472" s="1"/>
      <c r="R472" s="1"/>
      <c r="S472" s="1"/>
      <c r="T472" s="1"/>
    </row>
    <row r="473" spans="14:20" x14ac:dyDescent="0.25">
      <c r="N473" s="1"/>
      <c r="O473" s="1"/>
      <c r="P473" s="1"/>
      <c r="Q473" s="1"/>
      <c r="R473" s="1"/>
      <c r="S473" s="1"/>
      <c r="T473" s="1"/>
    </row>
    <row r="474" spans="14:20" x14ac:dyDescent="0.25">
      <c r="N474" s="1"/>
      <c r="O474" s="1"/>
      <c r="P474" s="1"/>
      <c r="Q474" s="1"/>
      <c r="R474" s="1"/>
      <c r="S474" s="1"/>
      <c r="T474" s="1"/>
    </row>
    <row r="475" spans="14:20" x14ac:dyDescent="0.25">
      <c r="N475" s="1"/>
      <c r="O475" s="1"/>
      <c r="P475" s="1"/>
      <c r="Q475" s="1"/>
      <c r="R475" s="1"/>
      <c r="S475" s="1"/>
      <c r="T475" s="1"/>
    </row>
    <row r="476" spans="14:20" x14ac:dyDescent="0.25">
      <c r="N476" s="1"/>
      <c r="O476" s="1"/>
      <c r="P476" s="1"/>
      <c r="Q476" s="1"/>
      <c r="R476" s="1"/>
      <c r="S476" s="1"/>
      <c r="T476" s="1"/>
    </row>
    <row r="477" spans="14:20" x14ac:dyDescent="0.25">
      <c r="N477" s="1"/>
      <c r="O477" s="1"/>
      <c r="P477" s="1"/>
      <c r="Q477" s="1"/>
      <c r="R477" s="1"/>
      <c r="S477" s="1"/>
      <c r="T477" s="1"/>
    </row>
    <row r="478" spans="14:20" x14ac:dyDescent="0.25">
      <c r="N478" s="1"/>
      <c r="O478" s="1"/>
      <c r="P478" s="1"/>
      <c r="Q478" s="1"/>
      <c r="R478" s="1"/>
      <c r="S478" s="1"/>
      <c r="T478" s="1"/>
    </row>
    <row r="479" spans="14:20" x14ac:dyDescent="0.25">
      <c r="N479" s="1"/>
      <c r="O479" s="1"/>
      <c r="P479" s="1"/>
      <c r="Q479" s="1"/>
      <c r="R479" s="1"/>
      <c r="S479" s="1"/>
      <c r="T479" s="1"/>
    </row>
    <row r="480" spans="14:20" x14ac:dyDescent="0.25">
      <c r="N480" s="1"/>
      <c r="O480" s="1"/>
      <c r="P480" s="1"/>
      <c r="Q480" s="1"/>
      <c r="R480" s="1"/>
      <c r="S480" s="1"/>
      <c r="T480" s="1"/>
    </row>
    <row r="481" spans="14:20" x14ac:dyDescent="0.25">
      <c r="N481" s="1"/>
      <c r="O481" s="1"/>
      <c r="P481" s="1"/>
      <c r="Q481" s="1"/>
      <c r="R481" s="1"/>
      <c r="S481" s="1"/>
      <c r="T481" s="1"/>
    </row>
    <row r="482" spans="14:20" x14ac:dyDescent="0.25">
      <c r="N482" s="1"/>
      <c r="O482" s="1"/>
      <c r="P482" s="1"/>
      <c r="Q482" s="1"/>
      <c r="R482" s="1"/>
      <c r="S482" s="1"/>
      <c r="T482" s="1"/>
    </row>
    <row r="483" spans="14:20" x14ac:dyDescent="0.25">
      <c r="N483" s="1"/>
      <c r="O483" s="1"/>
      <c r="P483" s="1"/>
      <c r="Q483" s="1"/>
      <c r="R483" s="1"/>
      <c r="S483" s="1"/>
      <c r="T483" s="1"/>
    </row>
    <row r="484" spans="14:20" x14ac:dyDescent="0.25">
      <c r="N484" s="1"/>
      <c r="O484" s="1"/>
      <c r="P484" s="1"/>
      <c r="Q484" s="1"/>
      <c r="R484" s="1"/>
      <c r="S484" s="1"/>
      <c r="T484" s="1"/>
    </row>
    <row r="485" spans="14:20" x14ac:dyDescent="0.25">
      <c r="N485" s="1"/>
      <c r="O485" s="1"/>
      <c r="P485" s="1"/>
      <c r="Q485" s="1"/>
      <c r="R485" s="1"/>
      <c r="S485" s="1"/>
      <c r="T485" s="1"/>
    </row>
    <row r="486" spans="14:20" x14ac:dyDescent="0.25">
      <c r="N486" s="1"/>
      <c r="O486" s="1"/>
      <c r="P486" s="1"/>
      <c r="Q486" s="1"/>
      <c r="R486" s="1"/>
      <c r="S486" s="1"/>
      <c r="T486" s="1"/>
    </row>
    <row r="487" spans="14:20" x14ac:dyDescent="0.25">
      <c r="N487" s="1"/>
      <c r="O487" s="1"/>
      <c r="P487" s="1"/>
      <c r="Q487" s="1"/>
      <c r="R487" s="1"/>
      <c r="S487" s="1"/>
      <c r="T487" s="1"/>
    </row>
    <row r="488" spans="14:20" x14ac:dyDescent="0.25">
      <c r="N488" s="1"/>
      <c r="O488" s="1"/>
      <c r="P488" s="1"/>
      <c r="Q488" s="1"/>
      <c r="R488" s="1"/>
      <c r="S488" s="1"/>
      <c r="T488" s="1"/>
    </row>
    <row r="489" spans="14:20" x14ac:dyDescent="0.25">
      <c r="N489" s="1"/>
      <c r="O489" s="1"/>
      <c r="P489" s="1"/>
      <c r="Q489" s="1"/>
      <c r="R489" s="1"/>
      <c r="S489" s="1"/>
      <c r="T489" s="1"/>
    </row>
    <row r="490" spans="14:20" x14ac:dyDescent="0.25">
      <c r="N490" s="1"/>
      <c r="O490" s="1"/>
      <c r="P490" s="1"/>
      <c r="Q490" s="1"/>
      <c r="R490" s="1"/>
      <c r="S490" s="1"/>
      <c r="T490" s="1"/>
    </row>
    <row r="491" spans="14:20" x14ac:dyDescent="0.25">
      <c r="N491" s="1"/>
      <c r="O491" s="1"/>
      <c r="P491" s="1"/>
      <c r="Q491" s="1"/>
      <c r="R491" s="1"/>
      <c r="S491" s="1"/>
      <c r="T491" s="1"/>
    </row>
    <row r="492" spans="14:20" x14ac:dyDescent="0.25">
      <c r="N492" s="1"/>
      <c r="O492" s="1"/>
      <c r="P492" s="1"/>
      <c r="Q492" s="1"/>
      <c r="R492" s="1"/>
      <c r="S492" s="1"/>
      <c r="T492" s="1"/>
    </row>
    <row r="493" spans="14:20" x14ac:dyDescent="0.25">
      <c r="N493" s="1"/>
      <c r="O493" s="1"/>
      <c r="P493" s="1"/>
      <c r="Q493" s="1"/>
      <c r="R493" s="1"/>
      <c r="S493" s="1"/>
      <c r="T493" s="1"/>
    </row>
    <row r="494" spans="14:20" x14ac:dyDescent="0.25">
      <c r="N494" s="1"/>
      <c r="O494" s="1"/>
      <c r="P494" s="1"/>
      <c r="Q494" s="1"/>
      <c r="R494" s="1"/>
      <c r="S494" s="1"/>
      <c r="T494" s="1"/>
    </row>
    <row r="495" spans="14:20" x14ac:dyDescent="0.25">
      <c r="N495" s="1"/>
      <c r="O495" s="1"/>
      <c r="P495" s="1"/>
      <c r="Q495" s="1"/>
      <c r="R495" s="1"/>
      <c r="S495" s="1"/>
      <c r="T495" s="1"/>
    </row>
    <row r="496" spans="14:20" x14ac:dyDescent="0.25">
      <c r="N496" s="1"/>
      <c r="O496" s="1"/>
      <c r="P496" s="1"/>
      <c r="Q496" s="1"/>
      <c r="R496" s="1"/>
      <c r="S496" s="1"/>
      <c r="T496" s="1"/>
    </row>
    <row r="497" spans="14:20" x14ac:dyDescent="0.25">
      <c r="N497" s="1"/>
      <c r="O497" s="1"/>
      <c r="P497" s="1"/>
      <c r="Q497" s="1"/>
      <c r="R497" s="1"/>
      <c r="S497" s="1"/>
      <c r="T497" s="1"/>
    </row>
    <row r="498" spans="14:20" x14ac:dyDescent="0.25">
      <c r="N498" s="1"/>
      <c r="O498" s="1"/>
      <c r="P498" s="1"/>
      <c r="Q498" s="1"/>
      <c r="R498" s="1"/>
      <c r="S498" s="1"/>
      <c r="T498" s="1"/>
    </row>
    <row r="499" spans="14:20" x14ac:dyDescent="0.25">
      <c r="N499" s="1"/>
      <c r="O499" s="1"/>
      <c r="P499" s="1"/>
      <c r="Q499" s="1"/>
      <c r="R499" s="1"/>
      <c r="S499" s="1"/>
      <c r="T499" s="1"/>
    </row>
    <row r="500" spans="14:20" x14ac:dyDescent="0.25">
      <c r="N500" s="1"/>
      <c r="O500" s="1"/>
      <c r="P500" s="1"/>
      <c r="Q500" s="1"/>
      <c r="R500" s="1"/>
      <c r="S500" s="1"/>
      <c r="T500" s="1"/>
    </row>
    <row r="501" spans="14:20" x14ac:dyDescent="0.25">
      <c r="N501" s="1"/>
      <c r="O501" s="1"/>
      <c r="P501" s="1"/>
      <c r="Q501" s="1"/>
      <c r="R501" s="1"/>
      <c r="S501" s="1"/>
      <c r="T501" s="1"/>
    </row>
    <row r="502" spans="14:20" x14ac:dyDescent="0.25">
      <c r="N502" s="1"/>
      <c r="O502" s="1"/>
      <c r="P502" s="1"/>
      <c r="Q502" s="1"/>
      <c r="R502" s="1"/>
      <c r="S502" s="1"/>
      <c r="T502" s="1"/>
    </row>
    <row r="503" spans="14:20" x14ac:dyDescent="0.25">
      <c r="N503" s="1"/>
      <c r="O503" s="1"/>
      <c r="P503" s="1"/>
      <c r="Q503" s="1"/>
      <c r="R503" s="1"/>
      <c r="S503" s="1"/>
      <c r="T503" s="1"/>
    </row>
    <row r="504" spans="14:20" x14ac:dyDescent="0.25">
      <c r="N504" s="1"/>
      <c r="O504" s="1"/>
      <c r="P504" s="1"/>
      <c r="Q504" s="1"/>
      <c r="R504" s="1"/>
      <c r="S504" s="1"/>
      <c r="T504" s="1"/>
    </row>
    <row r="505" spans="14:20" x14ac:dyDescent="0.25">
      <c r="N505" s="1"/>
      <c r="O505" s="1"/>
      <c r="P505" s="1"/>
      <c r="Q505" s="1"/>
      <c r="R505" s="1"/>
      <c r="S505" s="1"/>
      <c r="T505" s="1"/>
    </row>
    <row r="506" spans="14:20" x14ac:dyDescent="0.25">
      <c r="N506" s="1"/>
      <c r="O506" s="1"/>
      <c r="P506" s="1"/>
      <c r="Q506" s="1"/>
      <c r="R506" s="1"/>
      <c r="S506" s="1"/>
      <c r="T506" s="1"/>
    </row>
    <row r="507" spans="14:20" x14ac:dyDescent="0.25">
      <c r="N507" s="1"/>
      <c r="O507" s="1"/>
      <c r="P507" s="1"/>
      <c r="Q507" s="1"/>
      <c r="R507" s="1"/>
      <c r="S507" s="1"/>
      <c r="T507" s="1"/>
    </row>
    <row r="508" spans="14:20" x14ac:dyDescent="0.25">
      <c r="N508" s="1"/>
      <c r="O508" s="1"/>
      <c r="P508" s="1"/>
      <c r="Q508" s="1"/>
      <c r="R508" s="1"/>
      <c r="S508" s="1"/>
      <c r="T508" s="1"/>
    </row>
    <row r="509" spans="14:20" x14ac:dyDescent="0.25">
      <c r="N509" s="1"/>
      <c r="O509" s="1"/>
      <c r="P509" s="1"/>
      <c r="Q509" s="1"/>
      <c r="R509" s="1"/>
      <c r="S509" s="1"/>
      <c r="T509" s="1"/>
    </row>
    <row r="510" spans="14:20" x14ac:dyDescent="0.25">
      <c r="N510" s="1"/>
      <c r="O510" s="1"/>
      <c r="P510" s="1"/>
      <c r="Q510" s="1"/>
      <c r="R510" s="1"/>
      <c r="S510" s="1"/>
      <c r="T510" s="1"/>
    </row>
    <row r="511" spans="14:20" x14ac:dyDescent="0.25">
      <c r="N511" s="1"/>
      <c r="O511" s="1"/>
      <c r="P511" s="1"/>
      <c r="Q511" s="1"/>
      <c r="R511" s="1"/>
      <c r="S511" s="1"/>
      <c r="T511" s="1"/>
    </row>
    <row r="512" spans="14:20" x14ac:dyDescent="0.25">
      <c r="N512" s="1"/>
      <c r="O512" s="1"/>
      <c r="P512" s="1"/>
      <c r="Q512" s="1"/>
      <c r="R512" s="1"/>
      <c r="S512" s="1"/>
      <c r="T512" s="1"/>
    </row>
    <row r="513" spans="14:20" x14ac:dyDescent="0.25">
      <c r="N513" s="1"/>
      <c r="O513" s="1"/>
      <c r="P513" s="1"/>
      <c r="Q513" s="1"/>
      <c r="R513" s="1"/>
      <c r="S513" s="1"/>
      <c r="T513" s="1"/>
    </row>
    <row r="514" spans="14:20" x14ac:dyDescent="0.25">
      <c r="N514" s="1"/>
      <c r="O514" s="1"/>
      <c r="P514" s="1"/>
      <c r="Q514" s="1"/>
      <c r="R514" s="1"/>
      <c r="S514" s="1"/>
      <c r="T514" s="1"/>
    </row>
    <row r="515" spans="14:20" x14ac:dyDescent="0.25">
      <c r="N515" s="1"/>
      <c r="O515" s="1"/>
      <c r="P515" s="1"/>
      <c r="Q515" s="1"/>
      <c r="R515" s="1"/>
      <c r="S515" s="1"/>
      <c r="T515" s="1"/>
    </row>
    <row r="516" spans="14:20" x14ac:dyDescent="0.25">
      <c r="N516" s="1"/>
      <c r="O516" s="1"/>
      <c r="P516" s="1"/>
      <c r="Q516" s="1"/>
      <c r="R516" s="1"/>
      <c r="S516" s="1"/>
      <c r="T516" s="1"/>
    </row>
    <row r="517" spans="14:20" x14ac:dyDescent="0.25">
      <c r="N517" s="1"/>
      <c r="O517" s="1"/>
      <c r="P517" s="1"/>
      <c r="Q517" s="1"/>
      <c r="R517" s="1"/>
      <c r="S517" s="1"/>
      <c r="T517" s="1"/>
    </row>
    <row r="518" spans="14:20" x14ac:dyDescent="0.25">
      <c r="N518" s="1"/>
      <c r="O518" s="1"/>
      <c r="P518" s="1"/>
      <c r="Q518" s="1"/>
      <c r="R518" s="1"/>
      <c r="S518" s="1"/>
      <c r="T518" s="1"/>
    </row>
    <row r="519" spans="14:20" x14ac:dyDescent="0.25">
      <c r="N519" s="1"/>
      <c r="O519" s="1"/>
      <c r="P519" s="1"/>
      <c r="Q519" s="1"/>
      <c r="R519" s="1"/>
      <c r="S519" s="1"/>
      <c r="T519" s="1"/>
    </row>
    <row r="520" spans="14:20" x14ac:dyDescent="0.25">
      <c r="N520" s="1"/>
      <c r="O520" s="1"/>
      <c r="P520" s="1"/>
      <c r="Q520" s="1"/>
      <c r="R520" s="1"/>
      <c r="S520" s="1"/>
      <c r="T520" s="1"/>
    </row>
    <row r="521" spans="14:20" x14ac:dyDescent="0.25">
      <c r="N521" s="1"/>
      <c r="O521" s="1"/>
      <c r="P521" s="1"/>
      <c r="Q521" s="1"/>
      <c r="R521" s="1"/>
      <c r="S521" s="1"/>
      <c r="T521" s="1"/>
    </row>
    <row r="522" spans="14:20" x14ac:dyDescent="0.25">
      <c r="N522" s="1"/>
      <c r="O522" s="1"/>
      <c r="P522" s="1"/>
      <c r="Q522" s="1"/>
      <c r="R522" s="1"/>
      <c r="S522" s="1"/>
      <c r="T522" s="1"/>
    </row>
    <row r="523" spans="14:20" x14ac:dyDescent="0.25">
      <c r="N523" s="1"/>
      <c r="O523" s="1"/>
      <c r="P523" s="1"/>
      <c r="Q523" s="1"/>
      <c r="R523" s="1"/>
      <c r="S523" s="1"/>
      <c r="T523" s="1"/>
    </row>
    <row r="524" spans="14:20" x14ac:dyDescent="0.25">
      <c r="N524" s="1"/>
      <c r="O524" s="1"/>
      <c r="P524" s="1"/>
      <c r="Q524" s="1"/>
      <c r="R524" s="1"/>
      <c r="S524" s="1"/>
      <c r="T524" s="1"/>
    </row>
    <row r="525" spans="14:20" x14ac:dyDescent="0.25">
      <c r="N525" s="1"/>
      <c r="O525" s="1"/>
      <c r="P525" s="1"/>
      <c r="Q525" s="1"/>
      <c r="R525" s="1"/>
      <c r="S525" s="1"/>
      <c r="T525" s="1"/>
    </row>
    <row r="526" spans="14:20" x14ac:dyDescent="0.25">
      <c r="N526" s="1"/>
      <c r="O526" s="1"/>
      <c r="P526" s="1"/>
      <c r="Q526" s="1"/>
      <c r="R526" s="1"/>
      <c r="S526" s="1"/>
      <c r="T526" s="1"/>
    </row>
    <row r="527" spans="14:20" x14ac:dyDescent="0.25">
      <c r="N527" s="1"/>
      <c r="O527" s="1"/>
      <c r="P527" s="1"/>
      <c r="Q527" s="1"/>
      <c r="R527" s="1"/>
      <c r="S527" s="1"/>
      <c r="T527" s="1"/>
    </row>
    <row r="528" spans="14:20" x14ac:dyDescent="0.25">
      <c r="N528" s="1"/>
      <c r="O528" s="1"/>
      <c r="P528" s="1"/>
      <c r="Q528" s="1"/>
      <c r="R528" s="1"/>
      <c r="S528" s="1"/>
      <c r="T528" s="1"/>
    </row>
    <row r="529" spans="14:20" x14ac:dyDescent="0.25">
      <c r="N529" s="1"/>
      <c r="O529" s="1"/>
      <c r="P529" s="1"/>
      <c r="Q529" s="1"/>
      <c r="R529" s="1"/>
      <c r="S529" s="1"/>
      <c r="T529" s="1"/>
    </row>
    <row r="530" spans="14:20" x14ac:dyDescent="0.25">
      <c r="N530" s="1"/>
      <c r="O530" s="1"/>
      <c r="P530" s="1"/>
      <c r="Q530" s="1"/>
      <c r="R530" s="1"/>
      <c r="S530" s="1"/>
      <c r="T530" s="1"/>
    </row>
    <row r="531" spans="14:20" x14ac:dyDescent="0.25">
      <c r="N531" s="1"/>
      <c r="O531" s="1"/>
      <c r="P531" s="1"/>
      <c r="Q531" s="1"/>
      <c r="R531" s="1"/>
      <c r="S531" s="1"/>
      <c r="T531" s="1"/>
    </row>
    <row r="532" spans="14:20" x14ac:dyDescent="0.25">
      <c r="N532" s="1"/>
      <c r="O532" s="1"/>
      <c r="P532" s="1"/>
      <c r="Q532" s="1"/>
      <c r="R532" s="1"/>
      <c r="S532" s="1"/>
      <c r="T532" s="1"/>
    </row>
    <row r="533" spans="14:20" x14ac:dyDescent="0.25">
      <c r="N533" s="1"/>
      <c r="O533" s="1"/>
      <c r="P533" s="1"/>
      <c r="Q533" s="1"/>
      <c r="R533" s="1"/>
      <c r="S533" s="1"/>
      <c r="T533" s="1"/>
    </row>
    <row r="534" spans="14:20" x14ac:dyDescent="0.25">
      <c r="N534" s="1"/>
      <c r="O534" s="1"/>
      <c r="P534" s="1"/>
      <c r="Q534" s="1"/>
      <c r="R534" s="1"/>
      <c r="S534" s="1"/>
      <c r="T534" s="1"/>
    </row>
    <row r="535" spans="14:20" x14ac:dyDescent="0.25">
      <c r="N535" s="1"/>
      <c r="O535" s="1"/>
      <c r="P535" s="1"/>
      <c r="Q535" s="1"/>
      <c r="R535" s="1"/>
      <c r="S535" s="1"/>
      <c r="T535" s="1"/>
    </row>
    <row r="536" spans="14:20" x14ac:dyDescent="0.25">
      <c r="N536" s="1"/>
      <c r="O536" s="1"/>
      <c r="P536" s="1"/>
      <c r="Q536" s="1"/>
      <c r="R536" s="1"/>
      <c r="S536" s="1"/>
      <c r="T536" s="1"/>
    </row>
    <row r="537" spans="14:20" x14ac:dyDescent="0.25">
      <c r="N537" s="1"/>
      <c r="O537" s="1"/>
      <c r="P537" s="1"/>
      <c r="Q537" s="1"/>
      <c r="R537" s="1"/>
      <c r="S537" s="1"/>
      <c r="T537" s="1"/>
    </row>
    <row r="538" spans="14:20" x14ac:dyDescent="0.25">
      <c r="N538" s="1"/>
      <c r="O538" s="1"/>
      <c r="P538" s="1"/>
      <c r="Q538" s="1"/>
      <c r="R538" s="1"/>
      <c r="S538" s="1"/>
      <c r="T538" s="1"/>
    </row>
    <row r="539" spans="14:20" x14ac:dyDescent="0.25">
      <c r="N539" s="1"/>
      <c r="O539" s="1"/>
      <c r="P539" s="1"/>
      <c r="Q539" s="1"/>
      <c r="R539" s="1"/>
      <c r="S539" s="1"/>
      <c r="T539" s="1"/>
    </row>
    <row r="540" spans="14:20" x14ac:dyDescent="0.25">
      <c r="N540" s="1"/>
      <c r="O540" s="1"/>
      <c r="P540" s="1"/>
      <c r="Q540" s="1"/>
      <c r="R540" s="1"/>
      <c r="S540" s="1"/>
      <c r="T540" s="1"/>
    </row>
    <row r="541" spans="14:20" x14ac:dyDescent="0.25">
      <c r="N541" s="1"/>
      <c r="O541" s="1"/>
      <c r="P541" s="1"/>
      <c r="Q541" s="1"/>
      <c r="R541" s="1"/>
      <c r="S541" s="1"/>
      <c r="T541" s="1"/>
    </row>
    <row r="542" spans="14:20" x14ac:dyDescent="0.25">
      <c r="N542" s="1"/>
      <c r="O542" s="1"/>
      <c r="P542" s="1"/>
      <c r="Q542" s="1"/>
      <c r="R542" s="1"/>
      <c r="S542" s="1"/>
      <c r="T542" s="1"/>
    </row>
    <row r="543" spans="14:20" x14ac:dyDescent="0.25">
      <c r="N543" s="1"/>
      <c r="O543" s="1"/>
      <c r="P543" s="1"/>
      <c r="Q543" s="1"/>
      <c r="R543" s="1"/>
      <c r="S543" s="1"/>
      <c r="T543" s="1"/>
    </row>
    <row r="544" spans="14:20" x14ac:dyDescent="0.25">
      <c r="N544" s="1"/>
      <c r="O544" s="1"/>
      <c r="P544" s="1"/>
      <c r="Q544" s="1"/>
      <c r="R544" s="1"/>
      <c r="S544" s="1"/>
      <c r="T544" s="1"/>
    </row>
    <row r="545" spans="14:20" x14ac:dyDescent="0.25">
      <c r="N545" s="1"/>
      <c r="O545" s="1"/>
      <c r="P545" s="1"/>
      <c r="Q545" s="1"/>
      <c r="R545" s="1"/>
      <c r="S545" s="1"/>
      <c r="T545" s="1"/>
    </row>
    <row r="546" spans="14:20" x14ac:dyDescent="0.25">
      <c r="N546" s="1"/>
      <c r="O546" s="1"/>
      <c r="P546" s="1"/>
      <c r="Q546" s="1"/>
      <c r="R546" s="1"/>
      <c r="S546" s="1"/>
      <c r="T546" s="1"/>
    </row>
    <row r="547" spans="14:20" x14ac:dyDescent="0.25">
      <c r="N547" s="1"/>
      <c r="O547" s="1"/>
      <c r="P547" s="1"/>
      <c r="Q547" s="1"/>
      <c r="R547" s="1"/>
      <c r="S547" s="1"/>
      <c r="T547" s="1"/>
    </row>
    <row r="548" spans="14:20" x14ac:dyDescent="0.25">
      <c r="N548" s="1"/>
      <c r="O548" s="1"/>
      <c r="P548" s="1"/>
      <c r="Q548" s="1"/>
      <c r="R548" s="1"/>
      <c r="S548" s="1"/>
      <c r="T548" s="1"/>
    </row>
    <row r="549" spans="14:20" x14ac:dyDescent="0.25">
      <c r="N549" s="1"/>
      <c r="O549" s="1"/>
      <c r="P549" s="1"/>
      <c r="Q549" s="1"/>
      <c r="R549" s="1"/>
      <c r="S549" s="1"/>
      <c r="T549" s="1"/>
    </row>
    <row r="550" spans="14:20" x14ac:dyDescent="0.25">
      <c r="N550" s="1"/>
      <c r="O550" s="1"/>
      <c r="P550" s="1"/>
      <c r="Q550" s="1"/>
      <c r="R550" s="1"/>
      <c r="S550" s="1"/>
      <c r="T550" s="1"/>
    </row>
    <row r="551" spans="14:20" x14ac:dyDescent="0.25">
      <c r="N551" s="1"/>
      <c r="O551" s="1"/>
      <c r="P551" s="1"/>
      <c r="Q551" s="1"/>
      <c r="R551" s="1"/>
      <c r="S551" s="1"/>
      <c r="T551" s="1"/>
    </row>
    <row r="552" spans="14:20" x14ac:dyDescent="0.25">
      <c r="N552" s="1"/>
      <c r="O552" s="1"/>
      <c r="P552" s="1"/>
      <c r="Q552" s="1"/>
      <c r="R552" s="1"/>
      <c r="S552" s="1"/>
      <c r="T552" s="1"/>
    </row>
    <row r="553" spans="14:20" x14ac:dyDescent="0.25">
      <c r="N553" s="1"/>
      <c r="O553" s="1"/>
      <c r="P553" s="1"/>
      <c r="Q553" s="1"/>
      <c r="R553" s="1"/>
      <c r="S553" s="1"/>
      <c r="T553" s="1"/>
    </row>
    <row r="554" spans="14:20" x14ac:dyDescent="0.25">
      <c r="N554" s="1"/>
      <c r="O554" s="1"/>
      <c r="P554" s="1"/>
      <c r="Q554" s="1"/>
      <c r="R554" s="1"/>
      <c r="S554" s="1"/>
      <c r="T554" s="1"/>
    </row>
    <row r="555" spans="14:20" x14ac:dyDescent="0.25">
      <c r="N555" s="1"/>
      <c r="O555" s="1"/>
      <c r="P555" s="1"/>
      <c r="Q555" s="1"/>
      <c r="R555" s="1"/>
      <c r="S555" s="1"/>
      <c r="T555" s="1"/>
    </row>
    <row r="556" spans="14:20" x14ac:dyDescent="0.25">
      <c r="N556" s="1"/>
      <c r="O556" s="1"/>
      <c r="P556" s="1"/>
      <c r="Q556" s="1"/>
      <c r="R556" s="1"/>
      <c r="S556" s="1"/>
      <c r="T556" s="1"/>
    </row>
    <row r="557" spans="14:20" x14ac:dyDescent="0.25">
      <c r="N557" s="1"/>
      <c r="O557" s="1"/>
      <c r="P557" s="1"/>
      <c r="Q557" s="1"/>
      <c r="R557" s="1"/>
      <c r="S557" s="1"/>
      <c r="T557" s="1"/>
    </row>
    <row r="558" spans="14:20" x14ac:dyDescent="0.25">
      <c r="N558" s="1"/>
      <c r="O558" s="1"/>
      <c r="P558" s="1"/>
      <c r="Q558" s="1"/>
      <c r="R558" s="1"/>
      <c r="S558" s="1"/>
      <c r="T558" s="1"/>
    </row>
    <row r="559" spans="14:20" x14ac:dyDescent="0.25">
      <c r="N559" s="1"/>
      <c r="O559" s="1"/>
      <c r="P559" s="1"/>
      <c r="Q559" s="1"/>
      <c r="R559" s="1"/>
      <c r="S559" s="1"/>
      <c r="T559" s="1"/>
    </row>
    <row r="560" spans="14:20" x14ac:dyDescent="0.25">
      <c r="N560" s="1"/>
      <c r="O560" s="1"/>
      <c r="P560" s="1"/>
      <c r="Q560" s="1"/>
      <c r="R560" s="1"/>
      <c r="S560" s="1"/>
      <c r="T560" s="1"/>
    </row>
    <row r="561" spans="14:20" x14ac:dyDescent="0.25">
      <c r="N561" s="1"/>
      <c r="O561" s="1"/>
      <c r="P561" s="1"/>
      <c r="Q561" s="1"/>
      <c r="R561" s="1"/>
      <c r="S561" s="1"/>
      <c r="T561" s="1"/>
    </row>
    <row r="562" spans="14:20" x14ac:dyDescent="0.25">
      <c r="N562" s="1"/>
      <c r="O562" s="1"/>
      <c r="P562" s="1"/>
      <c r="Q562" s="1"/>
      <c r="R562" s="1"/>
      <c r="S562" s="1"/>
      <c r="T562" s="1"/>
    </row>
    <row r="563" spans="14:20" x14ac:dyDescent="0.25">
      <c r="N563" s="1"/>
      <c r="O563" s="1"/>
      <c r="P563" s="1"/>
      <c r="Q563" s="1"/>
      <c r="R563" s="1"/>
      <c r="S563" s="1"/>
      <c r="T563" s="1"/>
    </row>
    <row r="564" spans="14:20" x14ac:dyDescent="0.25">
      <c r="N564" s="1"/>
      <c r="O564" s="1"/>
      <c r="P564" s="1"/>
      <c r="Q564" s="1"/>
      <c r="R564" s="1"/>
      <c r="S564" s="1"/>
      <c r="T564" s="1"/>
    </row>
    <row r="565" spans="14:20" x14ac:dyDescent="0.25">
      <c r="N565" s="1"/>
      <c r="O565" s="1"/>
      <c r="P565" s="1"/>
      <c r="Q565" s="1"/>
      <c r="R565" s="1"/>
      <c r="S565" s="1"/>
      <c r="T565" s="1"/>
    </row>
    <row r="566" spans="14:20" x14ac:dyDescent="0.25">
      <c r="N566" s="1"/>
      <c r="O566" s="1"/>
      <c r="P566" s="1"/>
      <c r="Q566" s="1"/>
      <c r="R566" s="1"/>
      <c r="S566" s="1"/>
      <c r="T566" s="1"/>
    </row>
    <row r="567" spans="14:20" x14ac:dyDescent="0.25">
      <c r="N567" s="1"/>
      <c r="O567" s="1"/>
      <c r="P567" s="1"/>
      <c r="Q567" s="1"/>
      <c r="R567" s="1"/>
      <c r="S567" s="1"/>
      <c r="T567" s="1"/>
    </row>
    <row r="568" spans="14:20" x14ac:dyDescent="0.25">
      <c r="N568" s="1"/>
      <c r="O568" s="1"/>
      <c r="P568" s="1"/>
      <c r="Q568" s="1"/>
      <c r="R568" s="1"/>
      <c r="S568" s="1"/>
      <c r="T568" s="1"/>
    </row>
    <row r="569" spans="14:20" x14ac:dyDescent="0.25">
      <c r="N569" s="1"/>
      <c r="O569" s="1"/>
      <c r="P569" s="1"/>
      <c r="Q569" s="1"/>
      <c r="R569" s="1"/>
      <c r="S569" s="1"/>
      <c r="T569" s="1"/>
    </row>
    <row r="570" spans="14:20" x14ac:dyDescent="0.25">
      <c r="N570" s="1"/>
      <c r="O570" s="1"/>
      <c r="P570" s="1"/>
      <c r="Q570" s="1"/>
      <c r="R570" s="1"/>
      <c r="S570" s="1"/>
      <c r="T570" s="1"/>
    </row>
    <row r="571" spans="14:20" x14ac:dyDescent="0.25">
      <c r="N571" s="1"/>
      <c r="O571" s="1"/>
      <c r="P571" s="1"/>
      <c r="Q571" s="1"/>
      <c r="R571" s="1"/>
      <c r="S571" s="1"/>
      <c r="T571" s="1"/>
    </row>
    <row r="572" spans="14:20" x14ac:dyDescent="0.25">
      <c r="N572" s="1"/>
      <c r="O572" s="1"/>
      <c r="P572" s="1"/>
      <c r="Q572" s="1"/>
      <c r="R572" s="1"/>
      <c r="S572" s="1"/>
      <c r="T572" s="1"/>
    </row>
    <row r="573" spans="14:20" x14ac:dyDescent="0.25">
      <c r="N573" s="1"/>
      <c r="O573" s="1"/>
      <c r="P573" s="1"/>
      <c r="Q573" s="1"/>
      <c r="R573" s="1"/>
      <c r="S573" s="1"/>
      <c r="T573" s="1"/>
    </row>
    <row r="574" spans="14:20" x14ac:dyDescent="0.25">
      <c r="N574" s="1"/>
      <c r="O574" s="1"/>
      <c r="P574" s="1"/>
      <c r="Q574" s="1"/>
      <c r="R574" s="1"/>
      <c r="S574" s="1"/>
      <c r="T574" s="1"/>
    </row>
    <row r="575" spans="14:20" x14ac:dyDescent="0.25">
      <c r="N575" s="1"/>
      <c r="O575" s="1"/>
      <c r="P575" s="1"/>
      <c r="Q575" s="1"/>
      <c r="R575" s="1"/>
      <c r="S575" s="1"/>
      <c r="T575" s="1"/>
    </row>
    <row r="576" spans="14:20" x14ac:dyDescent="0.25">
      <c r="N576" s="1"/>
      <c r="O576" s="1"/>
      <c r="P576" s="1"/>
      <c r="Q576" s="1"/>
      <c r="R576" s="1"/>
      <c r="S576" s="1"/>
      <c r="T576" s="1"/>
    </row>
    <row r="577" spans="14:20" x14ac:dyDescent="0.25">
      <c r="N577" s="1"/>
      <c r="O577" s="1"/>
      <c r="P577" s="1"/>
      <c r="Q577" s="1"/>
      <c r="R577" s="1"/>
      <c r="S577" s="1"/>
      <c r="T577" s="1"/>
    </row>
    <row r="578" spans="14:20" x14ac:dyDescent="0.25">
      <c r="N578" s="1"/>
      <c r="O578" s="1"/>
      <c r="P578" s="1"/>
      <c r="Q578" s="1"/>
      <c r="R578" s="1"/>
      <c r="S578" s="1"/>
      <c r="T578" s="1"/>
    </row>
    <row r="579" spans="14:20" x14ac:dyDescent="0.25">
      <c r="N579" s="1"/>
      <c r="O579" s="1"/>
      <c r="P579" s="1"/>
      <c r="Q579" s="1"/>
      <c r="R579" s="1"/>
      <c r="S579" s="1"/>
      <c r="T579" s="1"/>
    </row>
    <row r="580" spans="14:20" x14ac:dyDescent="0.25">
      <c r="N580" s="1"/>
      <c r="O580" s="1"/>
      <c r="P580" s="1"/>
      <c r="Q580" s="1"/>
      <c r="R580" s="1"/>
      <c r="S580" s="1"/>
      <c r="T580" s="1"/>
    </row>
    <row r="581" spans="14:20" x14ac:dyDescent="0.25">
      <c r="N581" s="1"/>
      <c r="O581" s="1"/>
      <c r="P581" s="1"/>
      <c r="Q581" s="1"/>
      <c r="R581" s="1"/>
      <c r="S581" s="1"/>
      <c r="T581" s="1"/>
    </row>
    <row r="582" spans="14:20" x14ac:dyDescent="0.25">
      <c r="N582" s="1"/>
      <c r="O582" s="1"/>
      <c r="P582" s="1"/>
      <c r="Q582" s="1"/>
      <c r="R582" s="1"/>
      <c r="S582" s="1"/>
      <c r="T582" s="1"/>
    </row>
    <row r="583" spans="14:20" x14ac:dyDescent="0.25">
      <c r="N583" s="1"/>
      <c r="O583" s="1"/>
      <c r="P583" s="1"/>
      <c r="Q583" s="1"/>
      <c r="R583" s="1"/>
      <c r="S583" s="1"/>
      <c r="T583" s="1"/>
    </row>
    <row r="584" spans="14:20" x14ac:dyDescent="0.25">
      <c r="N584" s="1"/>
      <c r="O584" s="1"/>
      <c r="P584" s="1"/>
      <c r="Q584" s="1"/>
      <c r="R584" s="1"/>
      <c r="S584" s="1"/>
      <c r="T584" s="1"/>
    </row>
    <row r="585" spans="14:20" x14ac:dyDescent="0.25">
      <c r="N585" s="1"/>
      <c r="O585" s="1"/>
      <c r="P585" s="1"/>
      <c r="Q585" s="1"/>
      <c r="R585" s="1"/>
      <c r="S585" s="1"/>
      <c r="T585" s="1"/>
    </row>
    <row r="586" spans="14:20" x14ac:dyDescent="0.25">
      <c r="N586" s="1"/>
      <c r="O586" s="1"/>
      <c r="P586" s="1"/>
      <c r="Q586" s="1"/>
      <c r="R586" s="1"/>
      <c r="S586" s="1"/>
      <c r="T586" s="1"/>
    </row>
    <row r="587" spans="14:20" x14ac:dyDescent="0.25">
      <c r="N587" s="1"/>
      <c r="O587" s="1"/>
      <c r="P587" s="1"/>
      <c r="Q587" s="1"/>
      <c r="R587" s="1"/>
      <c r="S587" s="1"/>
      <c r="T587" s="1"/>
    </row>
    <row r="588" spans="14:20" x14ac:dyDescent="0.25">
      <c r="N588" s="1"/>
      <c r="O588" s="1"/>
      <c r="P588" s="1"/>
      <c r="Q588" s="1"/>
      <c r="R588" s="1"/>
      <c r="S588" s="1"/>
      <c r="T588" s="1"/>
    </row>
    <row r="589" spans="14:20" x14ac:dyDescent="0.25">
      <c r="N589" s="1"/>
      <c r="O589" s="1"/>
      <c r="P589" s="1"/>
      <c r="Q589" s="1"/>
      <c r="R589" s="1"/>
      <c r="S589" s="1"/>
      <c r="T589" s="1"/>
    </row>
    <row r="590" spans="14:20" x14ac:dyDescent="0.25">
      <c r="N590" s="1"/>
      <c r="O590" s="1"/>
      <c r="P590" s="1"/>
      <c r="Q590" s="1"/>
      <c r="R590" s="1"/>
      <c r="S590" s="1"/>
      <c r="T590" s="1"/>
    </row>
    <row r="591" spans="14:20" x14ac:dyDescent="0.25">
      <c r="N591" s="1"/>
      <c r="O591" s="1"/>
      <c r="P591" s="1"/>
      <c r="Q591" s="1"/>
      <c r="R591" s="1"/>
      <c r="S591" s="1"/>
      <c r="T591" s="1"/>
    </row>
    <row r="592" spans="14:20" x14ac:dyDescent="0.25">
      <c r="N592" s="1"/>
      <c r="O592" s="1"/>
      <c r="P592" s="1"/>
      <c r="Q592" s="1"/>
      <c r="R592" s="1"/>
      <c r="S592" s="1"/>
      <c r="T592" s="1"/>
    </row>
    <row r="593" spans="14:20" x14ac:dyDescent="0.25">
      <c r="N593" s="1"/>
      <c r="O593" s="1"/>
      <c r="P593" s="1"/>
      <c r="Q593" s="1"/>
      <c r="R593" s="1"/>
      <c r="S593" s="1"/>
      <c r="T593" s="1"/>
    </row>
    <row r="594" spans="14:20" x14ac:dyDescent="0.25">
      <c r="N594" s="1"/>
      <c r="O594" s="1"/>
      <c r="P594" s="1"/>
      <c r="Q594" s="1"/>
      <c r="R594" s="1"/>
      <c r="S594" s="1"/>
      <c r="T594" s="1"/>
    </row>
    <row r="595" spans="14:20" x14ac:dyDescent="0.25">
      <c r="N595" s="1"/>
      <c r="O595" s="1"/>
      <c r="P595" s="1"/>
      <c r="Q595" s="1"/>
      <c r="R595" s="1"/>
      <c r="S595" s="1"/>
      <c r="T595" s="1"/>
    </row>
    <row r="596" spans="14:20" x14ac:dyDescent="0.25">
      <c r="N596" s="1"/>
      <c r="O596" s="1"/>
      <c r="P596" s="1"/>
      <c r="Q596" s="1"/>
      <c r="R596" s="1"/>
      <c r="S596" s="1"/>
      <c r="T596" s="1"/>
    </row>
    <row r="597" spans="14:20" x14ac:dyDescent="0.25">
      <c r="N597" s="1"/>
      <c r="O597" s="1"/>
      <c r="P597" s="1"/>
      <c r="Q597" s="1"/>
      <c r="R597" s="1"/>
      <c r="S597" s="1"/>
      <c r="T597" s="1"/>
    </row>
    <row r="598" spans="14:20" x14ac:dyDescent="0.25">
      <c r="N598" s="1"/>
      <c r="O598" s="1"/>
      <c r="P598" s="1"/>
      <c r="Q598" s="1"/>
      <c r="R598" s="1"/>
      <c r="S598" s="1"/>
      <c r="T598" s="1"/>
    </row>
    <row r="599" spans="14:20" x14ac:dyDescent="0.25">
      <c r="N599" s="1"/>
      <c r="O599" s="1"/>
      <c r="P599" s="1"/>
      <c r="Q599" s="1"/>
      <c r="R599" s="1"/>
      <c r="S599" s="1"/>
      <c r="T599" s="1"/>
    </row>
    <row r="600" spans="14:20" x14ac:dyDescent="0.25">
      <c r="N600" s="1"/>
      <c r="O600" s="1"/>
      <c r="P600" s="1"/>
      <c r="Q600" s="1"/>
      <c r="R600" s="1"/>
      <c r="S600" s="1"/>
      <c r="T600" s="1"/>
    </row>
    <row r="601" spans="14:20" x14ac:dyDescent="0.25">
      <c r="N601" s="1"/>
      <c r="O601" s="1"/>
      <c r="P601" s="1"/>
      <c r="Q601" s="1"/>
      <c r="R601" s="1"/>
      <c r="S601" s="1"/>
      <c r="T601" s="1"/>
    </row>
    <row r="602" spans="14:20" x14ac:dyDescent="0.25">
      <c r="N602" s="1"/>
      <c r="O602" s="1"/>
      <c r="P602" s="1"/>
      <c r="Q602" s="1"/>
      <c r="R602" s="1"/>
      <c r="S602" s="1"/>
      <c r="T602" s="1"/>
    </row>
    <row r="603" spans="14:20" x14ac:dyDescent="0.25">
      <c r="N603" s="1"/>
      <c r="O603" s="1"/>
      <c r="P603" s="1"/>
      <c r="Q603" s="1"/>
      <c r="R603" s="1"/>
      <c r="S603" s="1"/>
      <c r="T603" s="1"/>
    </row>
    <row r="604" spans="14:20" x14ac:dyDescent="0.25">
      <c r="N604" s="1"/>
      <c r="O604" s="1"/>
      <c r="P604" s="1"/>
      <c r="Q604" s="1"/>
      <c r="R604" s="1"/>
      <c r="S604" s="1"/>
      <c r="T604" s="1"/>
    </row>
    <row r="605" spans="14:20" x14ac:dyDescent="0.25">
      <c r="N605" s="1"/>
      <c r="O605" s="1"/>
      <c r="P605" s="1"/>
      <c r="Q605" s="1"/>
      <c r="R605" s="1"/>
      <c r="S605" s="1"/>
      <c r="T605" s="1"/>
    </row>
    <row r="606" spans="14:20" x14ac:dyDescent="0.25">
      <c r="N606" s="1"/>
      <c r="O606" s="1"/>
      <c r="P606" s="1"/>
      <c r="Q606" s="1"/>
      <c r="R606" s="1"/>
      <c r="S606" s="1"/>
      <c r="T606" s="1"/>
    </row>
    <row r="607" spans="14:20" x14ac:dyDescent="0.25">
      <c r="N607" s="1"/>
      <c r="O607" s="1"/>
      <c r="P607" s="1"/>
      <c r="Q607" s="1"/>
      <c r="R607" s="1"/>
      <c r="S607" s="1"/>
      <c r="T607" s="1"/>
    </row>
    <row r="608" spans="14:20" x14ac:dyDescent="0.25">
      <c r="N608" s="1"/>
      <c r="O608" s="1"/>
      <c r="P608" s="1"/>
      <c r="Q608" s="1"/>
      <c r="R608" s="1"/>
      <c r="S608" s="1"/>
      <c r="T608" s="1"/>
    </row>
    <row r="609" spans="14:20" x14ac:dyDescent="0.25">
      <c r="N609" s="1"/>
      <c r="O609" s="1"/>
      <c r="P609" s="1"/>
      <c r="Q609" s="1"/>
      <c r="R609" s="1"/>
      <c r="S609" s="1"/>
      <c r="T609" s="1"/>
    </row>
    <row r="610" spans="14:20" x14ac:dyDescent="0.25">
      <c r="N610" s="1"/>
      <c r="O610" s="1"/>
      <c r="P610" s="1"/>
      <c r="Q610" s="1"/>
      <c r="R610" s="1"/>
      <c r="S610" s="1"/>
      <c r="T610" s="1"/>
    </row>
    <row r="611" spans="14:20" x14ac:dyDescent="0.25">
      <c r="N611" s="1"/>
      <c r="O611" s="1"/>
      <c r="P611" s="1"/>
      <c r="Q611" s="1"/>
      <c r="R611" s="1"/>
      <c r="S611" s="1"/>
      <c r="T611" s="1"/>
    </row>
    <row r="612" spans="14:20" x14ac:dyDescent="0.25">
      <c r="N612" s="1"/>
      <c r="O612" s="1"/>
      <c r="P612" s="1"/>
      <c r="Q612" s="1"/>
      <c r="R612" s="1"/>
      <c r="S612" s="1"/>
      <c r="T612" s="1"/>
    </row>
    <row r="613" spans="14:20" x14ac:dyDescent="0.25">
      <c r="N613" s="1"/>
      <c r="O613" s="1"/>
      <c r="P613" s="1"/>
      <c r="Q613" s="1"/>
      <c r="R613" s="1"/>
      <c r="S613" s="1"/>
      <c r="T613" s="1"/>
    </row>
    <row r="614" spans="14:20" x14ac:dyDescent="0.25">
      <c r="N614" s="1"/>
      <c r="O614" s="1"/>
      <c r="P614" s="1"/>
      <c r="Q614" s="1"/>
      <c r="R614" s="1"/>
      <c r="S614" s="1"/>
      <c r="T614" s="1"/>
    </row>
    <row r="615" spans="14:20" x14ac:dyDescent="0.25">
      <c r="N615" s="1"/>
      <c r="O615" s="1"/>
      <c r="P615" s="1"/>
      <c r="Q615" s="1"/>
      <c r="R615" s="1"/>
      <c r="S615" s="1"/>
      <c r="T615" s="1"/>
    </row>
    <row r="616" spans="14:20" x14ac:dyDescent="0.25">
      <c r="N616" s="1"/>
      <c r="O616" s="1"/>
      <c r="P616" s="1"/>
      <c r="Q616" s="1"/>
      <c r="R616" s="1"/>
      <c r="S616" s="1"/>
      <c r="T616" s="1"/>
    </row>
    <row r="617" spans="14:20" x14ac:dyDescent="0.25">
      <c r="N617" s="1"/>
      <c r="O617" s="1"/>
      <c r="P617" s="1"/>
      <c r="Q617" s="1"/>
      <c r="R617" s="1"/>
      <c r="S617" s="1"/>
      <c r="T617" s="1"/>
    </row>
    <row r="618" spans="14:20" x14ac:dyDescent="0.25">
      <c r="N618" s="1"/>
      <c r="O618" s="1"/>
      <c r="P618" s="1"/>
      <c r="Q618" s="1"/>
      <c r="R618" s="1"/>
      <c r="S618" s="1"/>
      <c r="T618" s="1"/>
    </row>
    <row r="619" spans="14:20" x14ac:dyDescent="0.25">
      <c r="N619" s="1"/>
      <c r="O619" s="1"/>
      <c r="P619" s="1"/>
      <c r="Q619" s="1"/>
      <c r="R619" s="1"/>
      <c r="S619" s="1"/>
      <c r="T619" s="1"/>
    </row>
    <row r="620" spans="14:20" x14ac:dyDescent="0.25">
      <c r="N620" s="1"/>
      <c r="O620" s="1"/>
      <c r="P620" s="1"/>
      <c r="Q620" s="1"/>
      <c r="R620" s="1"/>
      <c r="S620" s="1"/>
      <c r="T620" s="1"/>
    </row>
    <row r="621" spans="14:20" x14ac:dyDescent="0.25">
      <c r="N621" s="1"/>
      <c r="O621" s="1"/>
      <c r="P621" s="1"/>
      <c r="Q621" s="1"/>
      <c r="R621" s="1"/>
      <c r="S621" s="1"/>
      <c r="T621" s="1"/>
    </row>
    <row r="622" spans="14:20" x14ac:dyDescent="0.25">
      <c r="N622" s="1"/>
      <c r="O622" s="1"/>
      <c r="P622" s="1"/>
      <c r="Q622" s="1"/>
      <c r="R622" s="1"/>
      <c r="S622" s="1"/>
      <c r="T622" s="1"/>
    </row>
    <row r="623" spans="14:20" x14ac:dyDescent="0.25">
      <c r="N623" s="1"/>
      <c r="O623" s="1"/>
      <c r="P623" s="1"/>
      <c r="Q623" s="1"/>
      <c r="R623" s="1"/>
      <c r="S623" s="1"/>
      <c r="T623" s="1"/>
    </row>
    <row r="624" spans="14:20" x14ac:dyDescent="0.25">
      <c r="N624" s="1"/>
      <c r="O624" s="1"/>
      <c r="P624" s="1"/>
      <c r="Q624" s="1"/>
      <c r="R624" s="1"/>
      <c r="S624" s="1"/>
      <c r="T624" s="1"/>
    </row>
    <row r="625" spans="14:20" x14ac:dyDescent="0.25">
      <c r="N625" s="1"/>
      <c r="O625" s="1"/>
      <c r="P625" s="1"/>
      <c r="Q625" s="1"/>
      <c r="R625" s="1"/>
      <c r="S625" s="1"/>
      <c r="T625" s="1"/>
    </row>
    <row r="626" spans="14:20" x14ac:dyDescent="0.25">
      <c r="N626" s="1"/>
      <c r="O626" s="1"/>
      <c r="P626" s="1"/>
      <c r="Q626" s="1"/>
      <c r="R626" s="1"/>
      <c r="S626" s="1"/>
      <c r="T626" s="1"/>
    </row>
    <row r="627" spans="14:20" x14ac:dyDescent="0.25">
      <c r="N627" s="1"/>
      <c r="O627" s="1"/>
      <c r="P627" s="1"/>
      <c r="Q627" s="1"/>
      <c r="R627" s="1"/>
      <c r="S627" s="1"/>
      <c r="T627" s="1"/>
    </row>
    <row r="628" spans="14:20" x14ac:dyDescent="0.25">
      <c r="N628" s="1"/>
      <c r="O628" s="1"/>
      <c r="P628" s="1"/>
      <c r="Q628" s="1"/>
      <c r="R628" s="1"/>
      <c r="S628" s="1"/>
      <c r="T628" s="1"/>
    </row>
    <row r="629" spans="14:20" x14ac:dyDescent="0.25">
      <c r="N629" s="1"/>
      <c r="O629" s="1"/>
      <c r="P629" s="1"/>
      <c r="Q629" s="1"/>
      <c r="R629" s="1"/>
      <c r="S629" s="1"/>
      <c r="T629" s="1"/>
    </row>
    <row r="630" spans="14:20" x14ac:dyDescent="0.25">
      <c r="N630" s="1"/>
      <c r="O630" s="1"/>
      <c r="P630" s="1"/>
      <c r="Q630" s="1"/>
      <c r="R630" s="1"/>
      <c r="S630" s="1"/>
      <c r="T630" s="1"/>
    </row>
    <row r="631" spans="14:20" x14ac:dyDescent="0.25">
      <c r="N631" s="1"/>
      <c r="O631" s="1"/>
      <c r="P631" s="1"/>
      <c r="Q631" s="1"/>
      <c r="R631" s="1"/>
      <c r="S631" s="1"/>
      <c r="T631" s="1"/>
    </row>
    <row r="632" spans="14:20" x14ac:dyDescent="0.25">
      <c r="N632" s="1"/>
      <c r="O632" s="1"/>
      <c r="P632" s="1"/>
      <c r="Q632" s="1"/>
      <c r="R632" s="1"/>
      <c r="S632" s="1"/>
      <c r="T632" s="1"/>
    </row>
    <row r="633" spans="14:20" x14ac:dyDescent="0.25">
      <c r="N633" s="1"/>
      <c r="O633" s="1"/>
      <c r="P633" s="1"/>
      <c r="Q633" s="1"/>
      <c r="R633" s="1"/>
      <c r="S633" s="1"/>
      <c r="T633" s="1"/>
    </row>
    <row r="634" spans="14:20" x14ac:dyDescent="0.25">
      <c r="N634" s="1"/>
      <c r="O634" s="1"/>
      <c r="P634" s="1"/>
      <c r="Q634" s="1"/>
      <c r="R634" s="1"/>
      <c r="S634" s="1"/>
      <c r="T634" s="1"/>
    </row>
    <row r="635" spans="14:20" x14ac:dyDescent="0.25">
      <c r="N635" s="1"/>
      <c r="O635" s="1"/>
      <c r="P635" s="1"/>
      <c r="Q635" s="1"/>
      <c r="R635" s="1"/>
      <c r="S635" s="1"/>
      <c r="T635" s="1"/>
    </row>
    <row r="636" spans="14:20" x14ac:dyDescent="0.25">
      <c r="N636" s="1"/>
      <c r="O636" s="1"/>
      <c r="P636" s="1"/>
      <c r="Q636" s="1"/>
      <c r="R636" s="1"/>
      <c r="S636" s="1"/>
      <c r="T636" s="1"/>
    </row>
    <row r="637" spans="14:20" x14ac:dyDescent="0.25">
      <c r="N637" s="1"/>
      <c r="O637" s="1"/>
      <c r="P637" s="1"/>
      <c r="Q637" s="1"/>
      <c r="R637" s="1"/>
      <c r="S637" s="1"/>
      <c r="T637" s="1"/>
    </row>
    <row r="638" spans="14:20" x14ac:dyDescent="0.25">
      <c r="N638" s="1"/>
      <c r="O638" s="1"/>
      <c r="P638" s="1"/>
      <c r="Q638" s="1"/>
      <c r="R638" s="1"/>
      <c r="S638" s="1"/>
      <c r="T638" s="1"/>
    </row>
    <row r="639" spans="14:20" x14ac:dyDescent="0.25">
      <c r="N639" s="1"/>
      <c r="O639" s="1"/>
      <c r="P639" s="1"/>
      <c r="Q639" s="1"/>
      <c r="R639" s="1"/>
      <c r="S639" s="1"/>
      <c r="T639" s="1"/>
    </row>
    <row r="640" spans="14:20" x14ac:dyDescent="0.25">
      <c r="N640" s="1"/>
      <c r="O640" s="1"/>
      <c r="P640" s="1"/>
      <c r="Q640" s="1"/>
      <c r="R640" s="1"/>
      <c r="S640" s="1"/>
      <c r="T640" s="1"/>
    </row>
    <row r="641" spans="14:20" x14ac:dyDescent="0.25">
      <c r="N641" s="1"/>
      <c r="O641" s="1"/>
      <c r="P641" s="1"/>
      <c r="Q641" s="1"/>
      <c r="R641" s="1"/>
      <c r="S641" s="1"/>
      <c r="T641" s="1"/>
    </row>
    <row r="642" spans="14:20" x14ac:dyDescent="0.25">
      <c r="N642" s="1"/>
      <c r="O642" s="1"/>
      <c r="P642" s="1"/>
      <c r="Q642" s="1"/>
      <c r="R642" s="1"/>
      <c r="S642" s="1"/>
      <c r="T642" s="1"/>
    </row>
    <row r="643" spans="14:20" x14ac:dyDescent="0.25">
      <c r="N643" s="1"/>
      <c r="O643" s="1"/>
      <c r="P643" s="1"/>
      <c r="Q643" s="1"/>
      <c r="R643" s="1"/>
      <c r="S643" s="1"/>
      <c r="T643" s="1"/>
    </row>
    <row r="644" spans="14:20" x14ac:dyDescent="0.25">
      <c r="N644" s="1"/>
      <c r="O644" s="1"/>
      <c r="P644" s="1"/>
      <c r="Q644" s="1"/>
      <c r="R644" s="1"/>
      <c r="S644" s="1"/>
      <c r="T644" s="1"/>
    </row>
    <row r="645" spans="14:20" x14ac:dyDescent="0.25">
      <c r="N645" s="1"/>
      <c r="O645" s="1"/>
      <c r="P645" s="1"/>
      <c r="Q645" s="1"/>
      <c r="R645" s="1"/>
      <c r="S645" s="1"/>
      <c r="T645" s="1"/>
    </row>
    <row r="646" spans="14:20" x14ac:dyDescent="0.25">
      <c r="N646" s="1"/>
      <c r="O646" s="1"/>
      <c r="P646" s="1"/>
      <c r="Q646" s="1"/>
      <c r="R646" s="1"/>
      <c r="S646" s="1"/>
      <c r="T646" s="1"/>
    </row>
    <row r="647" spans="14:20" x14ac:dyDescent="0.25">
      <c r="N647" s="1"/>
      <c r="O647" s="1"/>
      <c r="P647" s="1"/>
      <c r="Q647" s="1"/>
      <c r="R647" s="1"/>
      <c r="S647" s="1"/>
      <c r="T647" s="1"/>
    </row>
    <row r="648" spans="14:20" x14ac:dyDescent="0.25">
      <c r="N648" s="1"/>
      <c r="O648" s="1"/>
      <c r="P648" s="1"/>
      <c r="Q648" s="1"/>
      <c r="R648" s="1"/>
      <c r="S648" s="1"/>
      <c r="T648" s="1"/>
    </row>
    <row r="649" spans="14:20" x14ac:dyDescent="0.25">
      <c r="N649" s="1"/>
      <c r="O649" s="1"/>
      <c r="P649" s="1"/>
      <c r="Q649" s="1"/>
      <c r="R649" s="1"/>
      <c r="S649" s="1"/>
      <c r="T649" s="1"/>
    </row>
    <row r="650" spans="14:20" x14ac:dyDescent="0.25">
      <c r="N650" s="1"/>
      <c r="O650" s="1"/>
      <c r="P650" s="1"/>
      <c r="Q650" s="1"/>
      <c r="R650" s="1"/>
      <c r="S650" s="1"/>
      <c r="T650" s="1"/>
    </row>
    <row r="651" spans="14:20" x14ac:dyDescent="0.25">
      <c r="N651" s="1"/>
      <c r="O651" s="1"/>
      <c r="P651" s="1"/>
      <c r="Q651" s="1"/>
      <c r="R651" s="1"/>
      <c r="S651" s="1"/>
      <c r="T651" s="1"/>
    </row>
    <row r="652" spans="14:20" x14ac:dyDescent="0.25">
      <c r="N652" s="1"/>
      <c r="O652" s="1"/>
      <c r="P652" s="1"/>
      <c r="Q652" s="1"/>
      <c r="R652" s="1"/>
      <c r="S652" s="1"/>
      <c r="T652" s="1"/>
    </row>
    <row r="653" spans="14:20" x14ac:dyDescent="0.25">
      <c r="N653" s="1"/>
      <c r="O653" s="1"/>
      <c r="P653" s="1"/>
      <c r="Q653" s="1"/>
      <c r="R653" s="1"/>
      <c r="S653" s="1"/>
      <c r="T653" s="1"/>
    </row>
    <row r="654" spans="14:20" x14ac:dyDescent="0.25">
      <c r="N654" s="1"/>
      <c r="O654" s="1"/>
      <c r="P654" s="1"/>
      <c r="Q654" s="1"/>
      <c r="R654" s="1"/>
      <c r="S654" s="1"/>
      <c r="T654" s="1"/>
    </row>
    <row r="655" spans="14:20" x14ac:dyDescent="0.25">
      <c r="N655" s="1"/>
      <c r="O655" s="1"/>
      <c r="P655" s="1"/>
      <c r="Q655" s="1"/>
      <c r="R655" s="1"/>
      <c r="S655" s="1"/>
      <c r="T655" s="1"/>
    </row>
    <row r="656" spans="14:20" x14ac:dyDescent="0.25">
      <c r="N656" s="1"/>
      <c r="O656" s="1"/>
      <c r="P656" s="1"/>
      <c r="Q656" s="1"/>
      <c r="R656" s="1"/>
      <c r="S656" s="1"/>
      <c r="T656" s="1"/>
    </row>
    <row r="657" spans="14:20" x14ac:dyDescent="0.25">
      <c r="N657" s="1"/>
      <c r="O657" s="1"/>
      <c r="P657" s="1"/>
      <c r="Q657" s="1"/>
      <c r="R657" s="1"/>
      <c r="S657" s="1"/>
      <c r="T657" s="1"/>
    </row>
    <row r="658" spans="14:20" x14ac:dyDescent="0.25">
      <c r="N658" s="1"/>
      <c r="O658" s="1"/>
      <c r="P658" s="1"/>
      <c r="Q658" s="1"/>
      <c r="R658" s="1"/>
      <c r="S658" s="1"/>
      <c r="T658" s="1"/>
    </row>
    <row r="659" spans="14:20" x14ac:dyDescent="0.25">
      <c r="N659" s="1"/>
      <c r="O659" s="1"/>
      <c r="P659" s="1"/>
      <c r="Q659" s="1"/>
      <c r="R659" s="1"/>
      <c r="S659" s="1"/>
      <c r="T659" s="1"/>
    </row>
    <row r="660" spans="14:20" x14ac:dyDescent="0.25">
      <c r="N660" s="1"/>
      <c r="O660" s="1"/>
      <c r="P660" s="1"/>
      <c r="Q660" s="1"/>
      <c r="R660" s="1"/>
      <c r="S660" s="1"/>
      <c r="T660" s="1"/>
    </row>
    <row r="661" spans="14:20" x14ac:dyDescent="0.25">
      <c r="N661" s="1"/>
      <c r="O661" s="1"/>
      <c r="P661" s="1"/>
      <c r="Q661" s="1"/>
      <c r="R661" s="1"/>
      <c r="S661" s="1"/>
      <c r="T661" s="1"/>
    </row>
    <row r="662" spans="14:20" x14ac:dyDescent="0.25">
      <c r="N662" s="1"/>
      <c r="O662" s="1"/>
      <c r="P662" s="1"/>
      <c r="Q662" s="1"/>
      <c r="R662" s="1"/>
      <c r="S662" s="1"/>
      <c r="T662" s="1"/>
    </row>
    <row r="663" spans="14:20" x14ac:dyDescent="0.25">
      <c r="N663" s="1"/>
      <c r="O663" s="1"/>
      <c r="P663" s="1"/>
      <c r="Q663" s="1"/>
      <c r="R663" s="1"/>
      <c r="S663" s="1"/>
      <c r="T663" s="1"/>
    </row>
    <row r="664" spans="14:20" x14ac:dyDescent="0.25">
      <c r="N664" s="1"/>
      <c r="O664" s="1"/>
      <c r="P664" s="1"/>
      <c r="Q664" s="1"/>
      <c r="R664" s="1"/>
      <c r="S664" s="1"/>
      <c r="T664" s="1"/>
    </row>
    <row r="665" spans="14:20" x14ac:dyDescent="0.25">
      <c r="N665" s="1"/>
      <c r="O665" s="1"/>
      <c r="P665" s="1"/>
      <c r="Q665" s="1"/>
      <c r="R665" s="1"/>
      <c r="S665" s="1"/>
      <c r="T665" s="1"/>
    </row>
    <row r="666" spans="14:20" x14ac:dyDescent="0.25">
      <c r="N666" s="1"/>
      <c r="O666" s="1"/>
      <c r="P666" s="1"/>
      <c r="Q666" s="1"/>
      <c r="R666" s="1"/>
      <c r="S666" s="1"/>
      <c r="T666" s="1"/>
    </row>
    <row r="667" spans="14:20" x14ac:dyDescent="0.25">
      <c r="N667" s="1"/>
      <c r="O667" s="1"/>
      <c r="P667" s="1"/>
      <c r="Q667" s="1"/>
      <c r="R667" s="1"/>
      <c r="S667" s="1"/>
      <c r="T667" s="1"/>
    </row>
    <row r="668" spans="14:20" x14ac:dyDescent="0.25">
      <c r="N668" s="1"/>
      <c r="O668" s="1"/>
      <c r="P668" s="1"/>
      <c r="Q668" s="1"/>
      <c r="R668" s="1"/>
      <c r="S668" s="1"/>
      <c r="T668" s="1"/>
    </row>
    <row r="669" spans="14:20" x14ac:dyDescent="0.25">
      <c r="N669" s="1"/>
      <c r="O669" s="1"/>
      <c r="P669" s="1"/>
      <c r="Q669" s="1"/>
      <c r="R669" s="1"/>
      <c r="S669" s="1"/>
      <c r="T669" s="1"/>
    </row>
    <row r="670" spans="14:20" x14ac:dyDescent="0.25">
      <c r="N670" s="1"/>
      <c r="O670" s="1"/>
      <c r="P670" s="1"/>
      <c r="Q670" s="1"/>
      <c r="R670" s="1"/>
      <c r="S670" s="1"/>
      <c r="T670" s="1"/>
    </row>
    <row r="671" spans="14:20" x14ac:dyDescent="0.25">
      <c r="N671" s="1"/>
      <c r="O671" s="1"/>
      <c r="P671" s="1"/>
      <c r="Q671" s="1"/>
      <c r="R671" s="1"/>
      <c r="S671" s="1"/>
      <c r="T671" s="1"/>
    </row>
    <row r="672" spans="14:20" x14ac:dyDescent="0.25">
      <c r="N672" s="1"/>
      <c r="O672" s="1"/>
      <c r="P672" s="1"/>
      <c r="Q672" s="1"/>
      <c r="R672" s="1"/>
      <c r="S672" s="1"/>
      <c r="T672" s="1"/>
    </row>
    <row r="673" spans="14:20" x14ac:dyDescent="0.25">
      <c r="N673" s="1"/>
      <c r="O673" s="1"/>
      <c r="P673" s="1"/>
      <c r="Q673" s="1"/>
      <c r="R673" s="1"/>
      <c r="S673" s="1"/>
      <c r="T673" s="1"/>
    </row>
    <row r="674" spans="14:20" x14ac:dyDescent="0.25">
      <c r="N674" s="1"/>
      <c r="O674" s="1"/>
      <c r="P674" s="1"/>
      <c r="Q674" s="1"/>
      <c r="R674" s="1"/>
      <c r="S674" s="1"/>
      <c r="T674" s="1"/>
    </row>
    <row r="675" spans="14:20" x14ac:dyDescent="0.25">
      <c r="N675" s="1"/>
      <c r="O675" s="1"/>
      <c r="P675" s="1"/>
      <c r="Q675" s="1"/>
      <c r="R675" s="1"/>
      <c r="S675" s="1"/>
      <c r="T675" s="1"/>
    </row>
    <row r="676" spans="14:20" x14ac:dyDescent="0.25">
      <c r="N676" s="1"/>
      <c r="O676" s="1"/>
      <c r="P676" s="1"/>
      <c r="Q676" s="1"/>
      <c r="R676" s="1"/>
      <c r="S676" s="1"/>
      <c r="T676" s="1"/>
    </row>
    <row r="677" spans="14:20" x14ac:dyDescent="0.25">
      <c r="N677" s="1"/>
      <c r="O677" s="1"/>
      <c r="P677" s="1"/>
      <c r="Q677" s="1"/>
      <c r="R677" s="1"/>
      <c r="S677" s="1"/>
      <c r="T677" s="1"/>
    </row>
    <row r="678" spans="14:20" x14ac:dyDescent="0.25">
      <c r="N678" s="1"/>
      <c r="O678" s="1"/>
      <c r="P678" s="1"/>
      <c r="Q678" s="1"/>
      <c r="R678" s="1"/>
      <c r="S678" s="1"/>
      <c r="T678" s="1"/>
    </row>
    <row r="679" spans="14:20" x14ac:dyDescent="0.25">
      <c r="N679" s="1"/>
      <c r="O679" s="1"/>
      <c r="P679" s="1"/>
      <c r="Q679" s="1"/>
      <c r="R679" s="1"/>
      <c r="S679" s="1"/>
      <c r="T679" s="1"/>
    </row>
    <row r="680" spans="14:20" x14ac:dyDescent="0.25">
      <c r="N680" s="1"/>
      <c r="O680" s="1"/>
      <c r="P680" s="1"/>
      <c r="Q680" s="1"/>
      <c r="R680" s="1"/>
      <c r="S680" s="1"/>
      <c r="T680" s="1"/>
    </row>
    <row r="681" spans="14:20" x14ac:dyDescent="0.25">
      <c r="N681" s="1"/>
      <c r="O681" s="1"/>
      <c r="P681" s="1"/>
      <c r="Q681" s="1"/>
      <c r="R681" s="1"/>
      <c r="S681" s="1"/>
      <c r="T681" s="1"/>
    </row>
    <row r="682" spans="14:20" x14ac:dyDescent="0.25">
      <c r="N682" s="1"/>
      <c r="O682" s="1"/>
      <c r="P682" s="1"/>
      <c r="Q682" s="1"/>
      <c r="R682" s="1"/>
      <c r="S682" s="1"/>
      <c r="T682" s="1"/>
    </row>
    <row r="683" spans="14:20" x14ac:dyDescent="0.25">
      <c r="N683" s="1"/>
      <c r="O683" s="1"/>
      <c r="P683" s="1"/>
      <c r="Q683" s="1"/>
      <c r="R683" s="1"/>
      <c r="S683" s="1"/>
      <c r="T683" s="1"/>
    </row>
    <row r="684" spans="14:20" x14ac:dyDescent="0.25">
      <c r="N684" s="1"/>
      <c r="O684" s="1"/>
      <c r="P684" s="1"/>
      <c r="Q684" s="1"/>
      <c r="R684" s="1"/>
      <c r="S684" s="1"/>
      <c r="T684" s="1"/>
    </row>
    <row r="685" spans="14:20" x14ac:dyDescent="0.25">
      <c r="N685" s="1"/>
      <c r="O685" s="1"/>
      <c r="P685" s="1"/>
      <c r="Q685" s="1"/>
      <c r="R685" s="1"/>
      <c r="S685" s="1"/>
      <c r="T685" s="1"/>
    </row>
    <row r="686" spans="14:20" x14ac:dyDescent="0.25">
      <c r="N686" s="1"/>
      <c r="O686" s="1"/>
      <c r="P686" s="1"/>
      <c r="Q686" s="1"/>
      <c r="R686" s="1"/>
      <c r="S686" s="1"/>
      <c r="T686" s="1"/>
    </row>
    <row r="687" spans="14:20" x14ac:dyDescent="0.25">
      <c r="N687" s="1"/>
      <c r="O687" s="1"/>
      <c r="P687" s="1"/>
      <c r="Q687" s="1"/>
      <c r="R687" s="1"/>
      <c r="S687" s="1"/>
      <c r="T687" s="1"/>
    </row>
    <row r="688" spans="14:20" x14ac:dyDescent="0.25">
      <c r="N688" s="1"/>
      <c r="O688" s="1"/>
      <c r="P688" s="1"/>
      <c r="Q688" s="1"/>
      <c r="R688" s="1"/>
      <c r="S688" s="1"/>
      <c r="T688" s="1"/>
    </row>
    <row r="689" spans="14:20" x14ac:dyDescent="0.25">
      <c r="N689" s="1"/>
      <c r="O689" s="1"/>
      <c r="P689" s="1"/>
      <c r="Q689" s="1"/>
      <c r="R689" s="1"/>
      <c r="S689" s="1"/>
      <c r="T689" s="1"/>
    </row>
    <row r="690" spans="14:20" x14ac:dyDescent="0.25">
      <c r="N690" s="1"/>
      <c r="O690" s="1"/>
      <c r="P690" s="1"/>
      <c r="Q690" s="1"/>
      <c r="R690" s="1"/>
      <c r="S690" s="1"/>
      <c r="T690" s="1"/>
    </row>
    <row r="691" spans="14:20" x14ac:dyDescent="0.25">
      <c r="N691" s="1"/>
      <c r="O691" s="1"/>
      <c r="P691" s="1"/>
      <c r="Q691" s="1"/>
      <c r="R691" s="1"/>
      <c r="S691" s="1"/>
      <c r="T691" s="1"/>
    </row>
    <row r="692" spans="14:20" x14ac:dyDescent="0.25">
      <c r="N692" s="1"/>
      <c r="O692" s="1"/>
      <c r="P692" s="1"/>
      <c r="Q692" s="1"/>
      <c r="R692" s="1"/>
      <c r="S692" s="1"/>
      <c r="T692" s="1"/>
    </row>
    <row r="693" spans="14:20" x14ac:dyDescent="0.25">
      <c r="N693" s="1"/>
      <c r="O693" s="1"/>
      <c r="P693" s="1"/>
      <c r="Q693" s="1"/>
      <c r="R693" s="1"/>
      <c r="S693" s="1"/>
      <c r="T693" s="1"/>
    </row>
    <row r="694" spans="14:20" x14ac:dyDescent="0.25">
      <c r="N694" s="1"/>
      <c r="O694" s="1"/>
      <c r="P694" s="1"/>
      <c r="Q694" s="1"/>
      <c r="R694" s="1"/>
      <c r="S694" s="1"/>
      <c r="T694" s="1"/>
    </row>
    <row r="695" spans="14:20" x14ac:dyDescent="0.25">
      <c r="N695" s="1"/>
      <c r="O695" s="1"/>
      <c r="P695" s="1"/>
      <c r="Q695" s="1"/>
      <c r="R695" s="1"/>
      <c r="S695" s="1"/>
      <c r="T695" s="1"/>
    </row>
    <row r="696" spans="14:20" x14ac:dyDescent="0.25">
      <c r="N696" s="1"/>
      <c r="O696" s="1"/>
      <c r="P696" s="1"/>
      <c r="Q696" s="1"/>
      <c r="R696" s="1"/>
      <c r="S696" s="1"/>
      <c r="T696" s="1"/>
    </row>
    <row r="697" spans="14:20" x14ac:dyDescent="0.25">
      <c r="N697" s="1"/>
      <c r="O697" s="1"/>
      <c r="P697" s="1"/>
      <c r="Q697" s="1"/>
      <c r="R697" s="1"/>
      <c r="S697" s="1"/>
      <c r="T697" s="1"/>
    </row>
    <row r="698" spans="14:20" x14ac:dyDescent="0.25">
      <c r="N698" s="1"/>
      <c r="O698" s="1"/>
      <c r="P698" s="1"/>
      <c r="Q698" s="1"/>
      <c r="R698" s="1"/>
      <c r="S698" s="1"/>
      <c r="T698" s="1"/>
    </row>
    <row r="699" spans="14:20" x14ac:dyDescent="0.25">
      <c r="N699" s="1"/>
      <c r="O699" s="1"/>
      <c r="P699" s="1"/>
      <c r="Q699" s="1"/>
      <c r="R699" s="1"/>
      <c r="S699" s="1"/>
      <c r="T699" s="1"/>
    </row>
    <row r="700" spans="14:20" x14ac:dyDescent="0.25">
      <c r="N700" s="1"/>
      <c r="O700" s="1"/>
      <c r="P700" s="1"/>
      <c r="Q700" s="1"/>
      <c r="R700" s="1"/>
      <c r="S700" s="1"/>
      <c r="T700" s="1"/>
    </row>
    <row r="701" spans="14:20" x14ac:dyDescent="0.25">
      <c r="N701" s="1"/>
      <c r="O701" s="1"/>
      <c r="P701" s="1"/>
      <c r="Q701" s="1"/>
      <c r="R701" s="1"/>
      <c r="S701" s="1"/>
      <c r="T701" s="1"/>
    </row>
    <row r="702" spans="14:20" x14ac:dyDescent="0.25">
      <c r="N702" s="1"/>
      <c r="O702" s="1"/>
      <c r="P702" s="1"/>
      <c r="Q702" s="1"/>
      <c r="R702" s="1"/>
      <c r="S702" s="1"/>
      <c r="T702" s="1"/>
    </row>
    <row r="703" spans="14:20" x14ac:dyDescent="0.25">
      <c r="N703" s="1"/>
      <c r="O703" s="1"/>
      <c r="P703" s="1"/>
      <c r="Q703" s="1"/>
      <c r="R703" s="1"/>
      <c r="S703" s="1"/>
      <c r="T703" s="1"/>
    </row>
    <row r="704" spans="14:20" x14ac:dyDescent="0.25">
      <c r="N704" s="1"/>
      <c r="O704" s="1"/>
      <c r="P704" s="1"/>
      <c r="Q704" s="1"/>
      <c r="R704" s="1"/>
      <c r="S704" s="1"/>
      <c r="T704" s="1"/>
    </row>
    <row r="705" spans="14:20" x14ac:dyDescent="0.25">
      <c r="N705" s="1"/>
      <c r="O705" s="1"/>
      <c r="P705" s="1"/>
      <c r="Q705" s="1"/>
      <c r="R705" s="1"/>
      <c r="S705" s="1"/>
      <c r="T705" s="1"/>
    </row>
    <row r="706" spans="14:20" x14ac:dyDescent="0.25">
      <c r="N706" s="1"/>
      <c r="O706" s="1"/>
      <c r="P706" s="1"/>
      <c r="Q706" s="1"/>
      <c r="R706" s="1"/>
      <c r="S706" s="1"/>
      <c r="T706" s="1"/>
    </row>
    <row r="707" spans="14:20" x14ac:dyDescent="0.25">
      <c r="N707" s="1"/>
      <c r="O707" s="1"/>
      <c r="P707" s="1"/>
      <c r="Q707" s="1"/>
      <c r="R707" s="1"/>
      <c r="S707" s="1"/>
      <c r="T707" s="1"/>
    </row>
    <row r="708" spans="14:20" x14ac:dyDescent="0.25">
      <c r="N708" s="1"/>
      <c r="O708" s="1"/>
      <c r="P708" s="1"/>
      <c r="Q708" s="1"/>
      <c r="R708" s="1"/>
      <c r="S708" s="1"/>
      <c r="T708" s="1"/>
    </row>
    <row r="709" spans="14:20" x14ac:dyDescent="0.25">
      <c r="N709" s="1"/>
      <c r="O709" s="1"/>
      <c r="P709" s="1"/>
      <c r="Q709" s="1"/>
      <c r="R709" s="1"/>
      <c r="S709" s="1"/>
      <c r="T709" s="1"/>
    </row>
    <row r="710" spans="14:20" x14ac:dyDescent="0.25">
      <c r="N710" s="1"/>
      <c r="O710" s="1"/>
      <c r="P710" s="1"/>
      <c r="Q710" s="1"/>
      <c r="R710" s="1"/>
      <c r="S710" s="1"/>
      <c r="T710" s="1"/>
    </row>
    <row r="711" spans="14:20" x14ac:dyDescent="0.25">
      <c r="N711" s="1"/>
      <c r="O711" s="1"/>
      <c r="P711" s="1"/>
      <c r="Q711" s="1"/>
      <c r="R711" s="1"/>
      <c r="S711" s="1"/>
      <c r="T711" s="1"/>
    </row>
    <row r="712" spans="14:20" x14ac:dyDescent="0.25">
      <c r="N712" s="1"/>
      <c r="O712" s="1"/>
      <c r="P712" s="1"/>
      <c r="Q712" s="1"/>
      <c r="R712" s="1"/>
      <c r="S712" s="1"/>
      <c r="T712" s="1"/>
    </row>
    <row r="713" spans="14:20" x14ac:dyDescent="0.25">
      <c r="N713" s="1"/>
      <c r="O713" s="1"/>
      <c r="P713" s="1"/>
      <c r="Q713" s="1"/>
      <c r="R713" s="1"/>
      <c r="S713" s="1"/>
      <c r="T713" s="1"/>
    </row>
    <row r="714" spans="14:20" x14ac:dyDescent="0.25">
      <c r="N714" s="1"/>
      <c r="O714" s="1"/>
      <c r="P714" s="1"/>
      <c r="Q714" s="1"/>
      <c r="R714" s="1"/>
      <c r="S714" s="1"/>
      <c r="T714" s="1"/>
    </row>
    <row r="715" spans="14:20" x14ac:dyDescent="0.25">
      <c r="N715" s="1"/>
      <c r="O715" s="1"/>
      <c r="P715" s="1"/>
      <c r="Q715" s="1"/>
      <c r="R715" s="1"/>
      <c r="S715" s="1"/>
      <c r="T715" s="1"/>
    </row>
    <row r="716" spans="14:20" x14ac:dyDescent="0.25">
      <c r="N716" s="1"/>
      <c r="O716" s="1"/>
      <c r="P716" s="1"/>
      <c r="Q716" s="1"/>
      <c r="R716" s="1"/>
      <c r="S716" s="1"/>
      <c r="T716" s="1"/>
    </row>
    <row r="717" spans="14:20" x14ac:dyDescent="0.25">
      <c r="N717" s="1"/>
      <c r="O717" s="1"/>
      <c r="P717" s="1"/>
      <c r="Q717" s="1"/>
      <c r="R717" s="1"/>
      <c r="S717" s="1"/>
      <c r="T717" s="1"/>
    </row>
    <row r="718" spans="14:20" x14ac:dyDescent="0.25">
      <c r="N718" s="1"/>
      <c r="O718" s="1"/>
      <c r="P718" s="1"/>
      <c r="Q718" s="1"/>
      <c r="R718" s="1"/>
      <c r="S718" s="1"/>
      <c r="T718" s="1"/>
    </row>
    <row r="719" spans="14:20" x14ac:dyDescent="0.25">
      <c r="N719" s="1"/>
      <c r="O719" s="1"/>
      <c r="P719" s="1"/>
      <c r="Q719" s="1"/>
      <c r="R719" s="1"/>
      <c r="S719" s="1"/>
      <c r="T719" s="1"/>
    </row>
    <row r="720" spans="14:20" x14ac:dyDescent="0.25">
      <c r="N720" s="1"/>
      <c r="O720" s="1"/>
      <c r="P720" s="1"/>
      <c r="Q720" s="1"/>
      <c r="R720" s="1"/>
      <c r="S720" s="1"/>
      <c r="T720" s="1"/>
    </row>
    <row r="721" spans="14:20" x14ac:dyDescent="0.25">
      <c r="N721" s="1"/>
      <c r="O721" s="1"/>
      <c r="P721" s="1"/>
      <c r="Q721" s="1"/>
      <c r="R721" s="1"/>
      <c r="S721" s="1"/>
      <c r="T721" s="1"/>
    </row>
    <row r="722" spans="14:20" x14ac:dyDescent="0.25">
      <c r="N722" s="1"/>
      <c r="O722" s="1"/>
      <c r="P722" s="1"/>
      <c r="Q722" s="1"/>
      <c r="R722" s="1"/>
      <c r="S722" s="1"/>
      <c r="T722" s="1"/>
    </row>
    <row r="723" spans="14:20" x14ac:dyDescent="0.25">
      <c r="N723" s="1"/>
      <c r="O723" s="1"/>
      <c r="P723" s="1"/>
      <c r="Q723" s="1"/>
      <c r="R723" s="1"/>
      <c r="S723" s="1"/>
      <c r="T723" s="1"/>
    </row>
    <row r="724" spans="14:20" x14ac:dyDescent="0.25">
      <c r="N724" s="1"/>
      <c r="O724" s="1"/>
      <c r="P724" s="1"/>
      <c r="Q724" s="1"/>
      <c r="R724" s="1"/>
      <c r="S724" s="1"/>
      <c r="T724" s="1"/>
    </row>
    <row r="725" spans="14:20" x14ac:dyDescent="0.25">
      <c r="N725" s="1"/>
      <c r="O725" s="1"/>
      <c r="P725" s="1"/>
      <c r="Q725" s="1"/>
      <c r="R725" s="1"/>
      <c r="S725" s="1"/>
      <c r="T725" s="1"/>
    </row>
    <row r="726" spans="14:20" x14ac:dyDescent="0.25">
      <c r="N726" s="1"/>
      <c r="O726" s="1"/>
      <c r="P726" s="1"/>
      <c r="Q726" s="1"/>
      <c r="R726" s="1"/>
      <c r="S726" s="1"/>
      <c r="T726" s="1"/>
    </row>
    <row r="727" spans="14:20" x14ac:dyDescent="0.25">
      <c r="N727" s="1"/>
      <c r="O727" s="1"/>
      <c r="P727" s="1"/>
      <c r="Q727" s="1"/>
      <c r="R727" s="1"/>
      <c r="S727" s="1"/>
      <c r="T727" s="1"/>
    </row>
    <row r="728" spans="14:20" x14ac:dyDescent="0.25">
      <c r="N728" s="1"/>
      <c r="O728" s="1"/>
      <c r="P728" s="1"/>
      <c r="Q728" s="1"/>
      <c r="R728" s="1"/>
      <c r="S728" s="1"/>
      <c r="T728" s="1"/>
    </row>
    <row r="729" spans="14:20" x14ac:dyDescent="0.25">
      <c r="N729" s="1"/>
      <c r="O729" s="1"/>
      <c r="P729" s="1"/>
      <c r="Q729" s="1"/>
      <c r="R729" s="1"/>
      <c r="S729" s="1"/>
      <c r="T729" s="1"/>
    </row>
    <row r="730" spans="14:20" x14ac:dyDescent="0.25">
      <c r="N730" s="1"/>
      <c r="O730" s="1"/>
      <c r="P730" s="1"/>
      <c r="Q730" s="1"/>
      <c r="R730" s="1"/>
      <c r="S730" s="1"/>
      <c r="T730" s="1"/>
    </row>
    <row r="731" spans="14:20" x14ac:dyDescent="0.25">
      <c r="N731" s="1"/>
      <c r="O731" s="1"/>
      <c r="P731" s="1"/>
      <c r="Q731" s="1"/>
      <c r="R731" s="1"/>
      <c r="S731" s="1"/>
      <c r="T731" s="1"/>
    </row>
    <row r="732" spans="14:20" x14ac:dyDescent="0.25">
      <c r="N732" s="1"/>
      <c r="O732" s="1"/>
      <c r="P732" s="1"/>
      <c r="Q732" s="1"/>
      <c r="R732" s="1"/>
      <c r="S732" s="1"/>
      <c r="T732" s="1"/>
    </row>
    <row r="733" spans="14:20" x14ac:dyDescent="0.25">
      <c r="N733" s="1"/>
      <c r="O733" s="1"/>
      <c r="P733" s="1"/>
      <c r="Q733" s="1"/>
      <c r="R733" s="1"/>
      <c r="S733" s="1"/>
      <c r="T733" s="1"/>
    </row>
    <row r="734" spans="14:20" x14ac:dyDescent="0.25">
      <c r="N734" s="1"/>
      <c r="O734" s="1"/>
      <c r="P734" s="1"/>
      <c r="Q734" s="1"/>
      <c r="R734" s="1"/>
      <c r="S734" s="1"/>
      <c r="T734" s="1"/>
    </row>
    <row r="735" spans="14:20" x14ac:dyDescent="0.25">
      <c r="N735" s="1"/>
      <c r="O735" s="1"/>
      <c r="P735" s="1"/>
      <c r="Q735" s="1"/>
      <c r="R735" s="1"/>
      <c r="S735" s="1"/>
      <c r="T735" s="1"/>
    </row>
    <row r="736" spans="14:20" x14ac:dyDescent="0.25">
      <c r="N736" s="1"/>
      <c r="O736" s="1"/>
      <c r="P736" s="1"/>
      <c r="Q736" s="1"/>
      <c r="R736" s="1"/>
      <c r="S736" s="1"/>
      <c r="T736" s="1"/>
    </row>
    <row r="737" spans="14:20" x14ac:dyDescent="0.25">
      <c r="N737" s="1"/>
      <c r="O737" s="1"/>
      <c r="P737" s="1"/>
      <c r="Q737" s="1"/>
      <c r="R737" s="1"/>
      <c r="S737" s="1"/>
      <c r="T737" s="1"/>
    </row>
    <row r="738" spans="14:20" x14ac:dyDescent="0.25">
      <c r="N738" s="1"/>
      <c r="O738" s="1"/>
      <c r="P738" s="1"/>
      <c r="Q738" s="1"/>
      <c r="R738" s="1"/>
      <c r="S738" s="1"/>
      <c r="T738" s="1"/>
    </row>
    <row r="739" spans="14:20" x14ac:dyDescent="0.25">
      <c r="N739" s="1"/>
      <c r="O739" s="1"/>
      <c r="P739" s="1"/>
      <c r="Q739" s="1"/>
      <c r="R739" s="1"/>
      <c r="S739" s="1"/>
      <c r="T739" s="1"/>
    </row>
    <row r="740" spans="14:20" x14ac:dyDescent="0.25">
      <c r="N740" s="1"/>
      <c r="O740" s="1"/>
      <c r="P740" s="1"/>
      <c r="Q740" s="1"/>
      <c r="R740" s="1"/>
      <c r="S740" s="1"/>
      <c r="T740" s="1"/>
    </row>
    <row r="741" spans="14:20" x14ac:dyDescent="0.25">
      <c r="N741" s="1"/>
      <c r="O741" s="1"/>
      <c r="P741" s="1"/>
      <c r="Q741" s="1"/>
      <c r="R741" s="1"/>
      <c r="S741" s="1"/>
      <c r="T741" s="1"/>
    </row>
    <row r="742" spans="14:20" x14ac:dyDescent="0.25">
      <c r="N742" s="1"/>
      <c r="O742" s="1"/>
      <c r="P742" s="1"/>
      <c r="Q742" s="1"/>
      <c r="R742" s="1"/>
      <c r="S742" s="1"/>
      <c r="T742" s="1"/>
    </row>
    <row r="743" spans="14:20" x14ac:dyDescent="0.25">
      <c r="N743" s="1"/>
      <c r="O743" s="1"/>
      <c r="P743" s="1"/>
      <c r="Q743" s="1"/>
      <c r="R743" s="1"/>
      <c r="S743" s="1"/>
      <c r="T743" s="1"/>
    </row>
    <row r="744" spans="14:20" x14ac:dyDescent="0.25">
      <c r="N744" s="1"/>
      <c r="O744" s="1"/>
      <c r="P744" s="1"/>
      <c r="Q744" s="1"/>
      <c r="R744" s="1"/>
      <c r="S744" s="1"/>
      <c r="T744" s="1"/>
    </row>
    <row r="745" spans="14:20" x14ac:dyDescent="0.25">
      <c r="N745" s="1"/>
      <c r="O745" s="1"/>
      <c r="P745" s="1"/>
      <c r="Q745" s="1"/>
      <c r="R745" s="1"/>
      <c r="S745" s="1"/>
      <c r="T745" s="1"/>
    </row>
    <row r="746" spans="14:20" x14ac:dyDescent="0.25">
      <c r="N746" s="1"/>
      <c r="O746" s="1"/>
      <c r="P746" s="1"/>
      <c r="Q746" s="1"/>
      <c r="R746" s="1"/>
      <c r="S746" s="1"/>
      <c r="T746" s="1"/>
    </row>
    <row r="747" spans="14:20" x14ac:dyDescent="0.25">
      <c r="N747" s="1"/>
      <c r="O747" s="1"/>
      <c r="P747" s="1"/>
      <c r="Q747" s="1"/>
      <c r="R747" s="1"/>
      <c r="S747" s="1"/>
      <c r="T747" s="1"/>
    </row>
    <row r="748" spans="14:20" x14ac:dyDescent="0.25">
      <c r="N748" s="1"/>
      <c r="O748" s="1"/>
      <c r="P748" s="1"/>
      <c r="Q748" s="1"/>
      <c r="R748" s="1"/>
      <c r="S748" s="1"/>
      <c r="T748" s="1"/>
    </row>
    <row r="749" spans="14:20" x14ac:dyDescent="0.25">
      <c r="N749" s="1"/>
      <c r="O749" s="1"/>
      <c r="P749" s="1"/>
      <c r="Q749" s="1"/>
      <c r="R749" s="1"/>
      <c r="S749" s="1"/>
      <c r="T749" s="1"/>
    </row>
    <row r="750" spans="14:20" x14ac:dyDescent="0.25">
      <c r="N750" s="1"/>
      <c r="O750" s="1"/>
      <c r="P750" s="1"/>
      <c r="Q750" s="1"/>
      <c r="R750" s="1"/>
      <c r="S750" s="1"/>
      <c r="T750" s="1"/>
    </row>
    <row r="751" spans="14:20" x14ac:dyDescent="0.25">
      <c r="N751" s="1"/>
      <c r="O751" s="1"/>
      <c r="P751" s="1"/>
      <c r="Q751" s="1"/>
      <c r="R751" s="1"/>
      <c r="S751" s="1"/>
      <c r="T751" s="1"/>
    </row>
    <row r="752" spans="14:20" x14ac:dyDescent="0.25">
      <c r="N752" s="1"/>
      <c r="O752" s="1"/>
      <c r="P752" s="1"/>
      <c r="Q752" s="1"/>
      <c r="R752" s="1"/>
      <c r="S752" s="1"/>
      <c r="T752" s="1"/>
    </row>
    <row r="753" spans="14:20" x14ac:dyDescent="0.25">
      <c r="N753" s="1"/>
      <c r="O753" s="1"/>
      <c r="P753" s="1"/>
      <c r="Q753" s="1"/>
      <c r="R753" s="1"/>
      <c r="S753" s="1"/>
      <c r="T753" s="1"/>
    </row>
    <row r="754" spans="14:20" x14ac:dyDescent="0.25">
      <c r="N754" s="1"/>
      <c r="O754" s="1"/>
      <c r="P754" s="1"/>
      <c r="Q754" s="1"/>
      <c r="R754" s="1"/>
      <c r="S754" s="1"/>
      <c r="T754" s="1"/>
    </row>
    <row r="755" spans="14:20" x14ac:dyDescent="0.25">
      <c r="N755" s="1"/>
      <c r="O755" s="1"/>
      <c r="P755" s="1"/>
      <c r="Q755" s="1"/>
      <c r="R755" s="1"/>
      <c r="S755" s="1"/>
      <c r="T755" s="1"/>
    </row>
    <row r="756" spans="14:20" x14ac:dyDescent="0.25">
      <c r="N756" s="1"/>
      <c r="O756" s="1"/>
      <c r="P756" s="1"/>
      <c r="Q756" s="1"/>
      <c r="R756" s="1"/>
      <c r="S756" s="1"/>
      <c r="T756" s="1"/>
    </row>
    <row r="757" spans="14:20" x14ac:dyDescent="0.25">
      <c r="N757" s="1"/>
      <c r="O757" s="1"/>
      <c r="P757" s="1"/>
      <c r="Q757" s="1"/>
      <c r="R757" s="1"/>
      <c r="S757" s="1"/>
      <c r="T757" s="1"/>
    </row>
    <row r="758" spans="14:20" x14ac:dyDescent="0.25">
      <c r="N758" s="1"/>
      <c r="O758" s="1"/>
      <c r="P758" s="1"/>
      <c r="Q758" s="1"/>
      <c r="R758" s="1"/>
      <c r="S758" s="1"/>
      <c r="T758" s="1"/>
    </row>
    <row r="759" spans="14:20" x14ac:dyDescent="0.25">
      <c r="N759" s="1"/>
      <c r="O759" s="1"/>
      <c r="P759" s="1"/>
      <c r="Q759" s="1"/>
      <c r="R759" s="1"/>
      <c r="S759" s="1"/>
      <c r="T759" s="1"/>
    </row>
    <row r="760" spans="14:20" x14ac:dyDescent="0.25">
      <c r="N760" s="1"/>
      <c r="O760" s="1"/>
      <c r="P760" s="1"/>
      <c r="Q760" s="1"/>
      <c r="R760" s="1"/>
      <c r="S760" s="1"/>
      <c r="T760" s="1"/>
    </row>
    <row r="761" spans="14:20" x14ac:dyDescent="0.25">
      <c r="N761" s="1"/>
      <c r="O761" s="1"/>
      <c r="P761" s="1"/>
      <c r="Q761" s="1"/>
      <c r="R761" s="1"/>
      <c r="S761" s="1"/>
      <c r="T761" s="1"/>
    </row>
    <row r="762" spans="14:20" x14ac:dyDescent="0.25">
      <c r="N762" s="1"/>
      <c r="O762" s="1"/>
      <c r="P762" s="1"/>
      <c r="Q762" s="1"/>
      <c r="R762" s="1"/>
      <c r="S762" s="1"/>
      <c r="T762" s="1"/>
    </row>
    <row r="763" spans="14:20" x14ac:dyDescent="0.25">
      <c r="N763" s="1"/>
      <c r="O763" s="1"/>
      <c r="P763" s="1"/>
      <c r="Q763" s="1"/>
      <c r="R763" s="1"/>
      <c r="S763" s="1"/>
      <c r="T763" s="1"/>
    </row>
    <row r="764" spans="14:20" x14ac:dyDescent="0.25">
      <c r="N764" s="1"/>
      <c r="O764" s="1"/>
      <c r="P764" s="1"/>
      <c r="Q764" s="1"/>
      <c r="R764" s="1"/>
      <c r="S764" s="1"/>
      <c r="T764" s="1"/>
    </row>
    <row r="765" spans="14:20" x14ac:dyDescent="0.25">
      <c r="N765" s="1"/>
      <c r="O765" s="1"/>
      <c r="P765" s="1"/>
      <c r="Q765" s="1"/>
      <c r="R765" s="1"/>
      <c r="S765" s="1"/>
      <c r="T765" s="1"/>
    </row>
    <row r="766" spans="14:20" x14ac:dyDescent="0.25">
      <c r="N766" s="1"/>
      <c r="O766" s="1"/>
      <c r="P766" s="1"/>
      <c r="Q766" s="1"/>
      <c r="R766" s="1"/>
      <c r="S766" s="1"/>
      <c r="T766" s="1"/>
    </row>
    <row r="767" spans="14:20" x14ac:dyDescent="0.25">
      <c r="N767" s="1"/>
      <c r="O767" s="1"/>
      <c r="P767" s="1"/>
      <c r="Q767" s="1"/>
      <c r="R767" s="1"/>
      <c r="S767" s="1"/>
      <c r="T767" s="1"/>
    </row>
    <row r="768" spans="14:20" x14ac:dyDescent="0.25">
      <c r="N768" s="1"/>
      <c r="O768" s="1"/>
      <c r="P768" s="1"/>
      <c r="Q768" s="1"/>
      <c r="R768" s="1"/>
      <c r="S768" s="1"/>
      <c r="T768" s="1"/>
    </row>
    <row r="769" spans="14:20" x14ac:dyDescent="0.25">
      <c r="N769" s="1"/>
      <c r="O769" s="1"/>
      <c r="P769" s="1"/>
      <c r="Q769" s="1"/>
      <c r="R769" s="1"/>
      <c r="S769" s="1"/>
      <c r="T769" s="1"/>
    </row>
    <row r="770" spans="14:20" x14ac:dyDescent="0.25">
      <c r="N770" s="1"/>
      <c r="O770" s="1"/>
      <c r="P770" s="1"/>
      <c r="Q770" s="1"/>
      <c r="R770" s="1"/>
      <c r="S770" s="1"/>
      <c r="T770" s="1"/>
    </row>
    <row r="771" spans="14:20" x14ac:dyDescent="0.25">
      <c r="N771" s="1"/>
      <c r="O771" s="1"/>
      <c r="P771" s="1"/>
      <c r="Q771" s="1"/>
      <c r="R771" s="1"/>
      <c r="S771" s="1"/>
      <c r="T771" s="1"/>
    </row>
    <row r="772" spans="14:20" x14ac:dyDescent="0.25">
      <c r="N772" s="1"/>
      <c r="O772" s="1"/>
      <c r="P772" s="1"/>
      <c r="Q772" s="1"/>
      <c r="R772" s="1"/>
      <c r="S772" s="1"/>
      <c r="T772" s="1"/>
    </row>
    <row r="773" spans="14:20" x14ac:dyDescent="0.25">
      <c r="N773" s="1"/>
      <c r="O773" s="1"/>
      <c r="P773" s="1"/>
      <c r="Q773" s="1"/>
      <c r="R773" s="1"/>
      <c r="S773" s="1"/>
      <c r="T773" s="1"/>
    </row>
    <row r="774" spans="14:20" x14ac:dyDescent="0.25">
      <c r="N774" s="1"/>
      <c r="O774" s="1"/>
      <c r="P774" s="1"/>
      <c r="Q774" s="1"/>
      <c r="R774" s="1"/>
      <c r="S774" s="1"/>
      <c r="T774" s="1"/>
    </row>
    <row r="775" spans="14:20" x14ac:dyDescent="0.25">
      <c r="N775" s="1"/>
      <c r="O775" s="1"/>
      <c r="P775" s="1"/>
      <c r="Q775" s="1"/>
      <c r="R775" s="1"/>
      <c r="S775" s="1"/>
      <c r="T775" s="1"/>
    </row>
    <row r="776" spans="14:20" x14ac:dyDescent="0.25">
      <c r="N776" s="1"/>
      <c r="O776" s="1"/>
      <c r="P776" s="1"/>
      <c r="Q776" s="1"/>
      <c r="R776" s="1"/>
      <c r="S776" s="1"/>
      <c r="T776" s="1"/>
    </row>
    <row r="777" spans="14:20" x14ac:dyDescent="0.25">
      <c r="N777" s="1"/>
      <c r="O777" s="1"/>
      <c r="P777" s="1"/>
      <c r="Q777" s="1"/>
      <c r="R777" s="1"/>
      <c r="S777" s="1"/>
      <c r="T777" s="1"/>
    </row>
    <row r="778" spans="14:20" x14ac:dyDescent="0.25">
      <c r="N778" s="1"/>
      <c r="O778" s="1"/>
      <c r="P778" s="1"/>
      <c r="Q778" s="1"/>
      <c r="R778" s="1"/>
      <c r="S778" s="1"/>
      <c r="T778" s="1"/>
    </row>
    <row r="779" spans="14:20" x14ac:dyDescent="0.25">
      <c r="N779" s="1"/>
      <c r="O779" s="1"/>
      <c r="P779" s="1"/>
      <c r="Q779" s="1"/>
      <c r="R779" s="1"/>
      <c r="S779" s="1"/>
      <c r="T779" s="1"/>
    </row>
    <row r="780" spans="14:20" x14ac:dyDescent="0.25">
      <c r="N780" s="1"/>
      <c r="O780" s="1"/>
      <c r="P780" s="1"/>
      <c r="Q780" s="1"/>
      <c r="R780" s="1"/>
      <c r="S780" s="1"/>
      <c r="T780" s="1"/>
    </row>
    <row r="781" spans="14:20" x14ac:dyDescent="0.25">
      <c r="N781" s="1"/>
      <c r="O781" s="1"/>
      <c r="P781" s="1"/>
      <c r="Q781" s="1"/>
      <c r="R781" s="1"/>
      <c r="S781" s="1"/>
      <c r="T781" s="1"/>
    </row>
    <row r="782" spans="14:20" x14ac:dyDescent="0.25">
      <c r="N782" s="1"/>
      <c r="O782" s="1"/>
      <c r="P782" s="1"/>
      <c r="Q782" s="1"/>
      <c r="R782" s="1"/>
      <c r="S782" s="1"/>
      <c r="T782" s="1"/>
    </row>
    <row r="783" spans="14:20" x14ac:dyDescent="0.25">
      <c r="N783" s="1"/>
      <c r="O783" s="1"/>
      <c r="P783" s="1"/>
      <c r="Q783" s="1"/>
      <c r="R783" s="1"/>
      <c r="S783" s="1"/>
      <c r="T783" s="1"/>
    </row>
    <row r="784" spans="14:20" x14ac:dyDescent="0.25">
      <c r="N784" s="1"/>
      <c r="O784" s="1"/>
      <c r="P784" s="1"/>
      <c r="Q784" s="1"/>
      <c r="R784" s="1"/>
      <c r="S784" s="1"/>
      <c r="T784" s="1"/>
    </row>
    <row r="785" spans="14:20" x14ac:dyDescent="0.25">
      <c r="N785" s="1"/>
      <c r="O785" s="1"/>
      <c r="P785" s="1"/>
      <c r="Q785" s="1"/>
      <c r="R785" s="1"/>
      <c r="S785" s="1"/>
      <c r="T785" s="1"/>
    </row>
    <row r="786" spans="14:20" x14ac:dyDescent="0.25">
      <c r="N786" s="1"/>
      <c r="O786" s="1"/>
      <c r="P786" s="1"/>
      <c r="Q786" s="1"/>
      <c r="R786" s="1"/>
      <c r="S786" s="1"/>
      <c r="T786" s="1"/>
    </row>
    <row r="787" spans="14:20" x14ac:dyDescent="0.25">
      <c r="N787" s="1"/>
      <c r="O787" s="1"/>
      <c r="P787" s="1"/>
      <c r="Q787" s="1"/>
      <c r="R787" s="1"/>
      <c r="S787" s="1"/>
      <c r="T787" s="1"/>
    </row>
    <row r="788" spans="14:20" x14ac:dyDescent="0.25">
      <c r="N788" s="1"/>
      <c r="O788" s="1"/>
      <c r="P788" s="1"/>
      <c r="Q788" s="1"/>
      <c r="R788" s="1"/>
      <c r="S788" s="1"/>
      <c r="T788" s="1"/>
    </row>
    <row r="789" spans="14:20" x14ac:dyDescent="0.25">
      <c r="N789" s="1"/>
      <c r="O789" s="1"/>
      <c r="P789" s="1"/>
      <c r="Q789" s="1"/>
      <c r="R789" s="1"/>
      <c r="S789" s="1"/>
      <c r="T789" s="1"/>
    </row>
    <row r="790" spans="14:20" x14ac:dyDescent="0.25">
      <c r="N790" s="1"/>
      <c r="O790" s="1"/>
      <c r="P790" s="1"/>
      <c r="Q790" s="1"/>
      <c r="R790" s="1"/>
      <c r="S790" s="1"/>
      <c r="T790" s="1"/>
    </row>
    <row r="791" spans="14:20" x14ac:dyDescent="0.25">
      <c r="N791" s="1"/>
      <c r="O791" s="1"/>
      <c r="P791" s="1"/>
      <c r="Q791" s="1"/>
      <c r="R791" s="1"/>
      <c r="S791" s="1"/>
      <c r="T791" s="1"/>
    </row>
    <row r="792" spans="14:20" x14ac:dyDescent="0.25">
      <c r="N792" s="1"/>
      <c r="O792" s="1"/>
      <c r="P792" s="1"/>
      <c r="Q792" s="1"/>
      <c r="R792" s="1"/>
      <c r="S792" s="1"/>
      <c r="T792" s="1"/>
    </row>
    <row r="793" spans="14:20" x14ac:dyDescent="0.25">
      <c r="N793" s="1"/>
      <c r="O793" s="1"/>
      <c r="P793" s="1"/>
      <c r="Q793" s="1"/>
      <c r="R793" s="1"/>
      <c r="S793" s="1"/>
      <c r="T793" s="1"/>
    </row>
    <row r="794" spans="14:20" x14ac:dyDescent="0.25">
      <c r="N794" s="1"/>
      <c r="O794" s="1"/>
      <c r="P794" s="1"/>
      <c r="Q794" s="1"/>
      <c r="R794" s="1"/>
      <c r="S794" s="1"/>
      <c r="T794" s="1"/>
    </row>
    <row r="795" spans="14:20" x14ac:dyDescent="0.25">
      <c r="N795" s="1"/>
      <c r="O795" s="1"/>
      <c r="P795" s="1"/>
      <c r="Q795" s="1"/>
      <c r="R795" s="1"/>
      <c r="S795" s="1"/>
      <c r="T795" s="1"/>
    </row>
    <row r="796" spans="14:20" x14ac:dyDescent="0.25">
      <c r="N796" s="1"/>
      <c r="O796" s="1"/>
      <c r="P796" s="1"/>
      <c r="Q796" s="1"/>
      <c r="R796" s="1"/>
      <c r="S796" s="1"/>
      <c r="T796" s="1"/>
    </row>
    <row r="797" spans="14:20" x14ac:dyDescent="0.25">
      <c r="N797" s="1"/>
      <c r="O797" s="1"/>
      <c r="P797" s="1"/>
      <c r="Q797" s="1"/>
      <c r="R797" s="1"/>
      <c r="S797" s="1"/>
      <c r="T797" s="1"/>
    </row>
    <row r="798" spans="14:20" x14ac:dyDescent="0.25">
      <c r="N798" s="1"/>
      <c r="O798" s="1"/>
      <c r="P798" s="1"/>
      <c r="Q798" s="1"/>
      <c r="R798" s="1"/>
      <c r="S798" s="1"/>
      <c r="T798" s="1"/>
    </row>
    <row r="799" spans="14:20" x14ac:dyDescent="0.25">
      <c r="N799" s="1"/>
      <c r="O799" s="1"/>
      <c r="P799" s="1"/>
      <c r="Q799" s="1"/>
      <c r="R799" s="1"/>
      <c r="S799" s="1"/>
      <c r="T799" s="1"/>
    </row>
    <row r="800" spans="14:20" x14ac:dyDescent="0.25">
      <c r="N800" s="1"/>
      <c r="O800" s="1"/>
      <c r="P800" s="1"/>
      <c r="Q800" s="1"/>
      <c r="R800" s="1"/>
      <c r="S800" s="1"/>
      <c r="T800" s="1"/>
    </row>
    <row r="801" spans="14:20" x14ac:dyDescent="0.25">
      <c r="N801" s="1"/>
      <c r="O801" s="1"/>
      <c r="P801" s="1"/>
      <c r="Q801" s="1"/>
      <c r="R801" s="1"/>
      <c r="S801" s="1"/>
      <c r="T801" s="1"/>
    </row>
    <row r="802" spans="14:20" x14ac:dyDescent="0.25">
      <c r="N802" s="1"/>
      <c r="O802" s="1"/>
      <c r="P802" s="1"/>
      <c r="Q802" s="1"/>
      <c r="R802" s="1"/>
      <c r="S802" s="1"/>
      <c r="T802" s="1"/>
    </row>
    <row r="803" spans="14:20" x14ac:dyDescent="0.25">
      <c r="N803" s="1"/>
      <c r="O803" s="1"/>
      <c r="P803" s="1"/>
      <c r="Q803" s="1"/>
      <c r="R803" s="1"/>
      <c r="S803" s="1"/>
      <c r="T803" s="1"/>
    </row>
    <row r="804" spans="14:20" x14ac:dyDescent="0.25">
      <c r="N804" s="1"/>
      <c r="O804" s="1"/>
      <c r="P804" s="1"/>
      <c r="Q804" s="1"/>
      <c r="R804" s="1"/>
      <c r="S804" s="1"/>
      <c r="T804" s="1"/>
    </row>
    <row r="805" spans="14:20" x14ac:dyDescent="0.25">
      <c r="N805" s="1"/>
      <c r="O805" s="1"/>
      <c r="P805" s="1"/>
      <c r="Q805" s="1"/>
      <c r="R805" s="1"/>
      <c r="S805" s="1"/>
      <c r="T805" s="1"/>
    </row>
    <row r="806" spans="14:20" x14ac:dyDescent="0.25">
      <c r="N806" s="1"/>
      <c r="O806" s="1"/>
      <c r="P806" s="1"/>
      <c r="Q806" s="1"/>
      <c r="R806" s="1"/>
      <c r="S806" s="1"/>
      <c r="T806" s="1"/>
    </row>
    <row r="807" spans="14:20" x14ac:dyDescent="0.25">
      <c r="N807" s="1"/>
      <c r="O807" s="1"/>
      <c r="P807" s="1"/>
      <c r="Q807" s="1"/>
      <c r="R807" s="1"/>
      <c r="S807" s="1"/>
      <c r="T807" s="1"/>
    </row>
    <row r="808" spans="14:20" x14ac:dyDescent="0.25">
      <c r="N808" s="1"/>
      <c r="O808" s="1"/>
      <c r="P808" s="1"/>
      <c r="Q808" s="1"/>
      <c r="R808" s="1"/>
      <c r="S808" s="1"/>
      <c r="T808" s="1"/>
    </row>
    <row r="809" spans="14:20" x14ac:dyDescent="0.25">
      <c r="N809" s="1"/>
      <c r="O809" s="1"/>
      <c r="P809" s="1"/>
      <c r="Q809" s="1"/>
      <c r="R809" s="1"/>
      <c r="S809" s="1"/>
      <c r="T809" s="1"/>
    </row>
    <row r="810" spans="14:20" x14ac:dyDescent="0.25">
      <c r="N810" s="1"/>
      <c r="O810" s="1"/>
      <c r="P810" s="1"/>
      <c r="Q810" s="1"/>
      <c r="R810" s="1"/>
      <c r="S810" s="1"/>
      <c r="T810" s="1"/>
    </row>
    <row r="811" spans="14:20" x14ac:dyDescent="0.25">
      <c r="N811" s="1"/>
      <c r="O811" s="1"/>
      <c r="P811" s="1"/>
      <c r="Q811" s="1"/>
      <c r="R811" s="1"/>
      <c r="S811" s="1"/>
      <c r="T811" s="1"/>
    </row>
    <row r="812" spans="14:20" x14ac:dyDescent="0.25">
      <c r="N812" s="1"/>
      <c r="O812" s="1"/>
      <c r="P812" s="1"/>
      <c r="Q812" s="1"/>
      <c r="R812" s="1"/>
      <c r="S812" s="1"/>
      <c r="T812" s="1"/>
    </row>
    <row r="813" spans="14:20" x14ac:dyDescent="0.25">
      <c r="N813" s="1"/>
      <c r="O813" s="1"/>
      <c r="P813" s="1"/>
      <c r="Q813" s="1"/>
      <c r="R813" s="1"/>
      <c r="S813" s="1"/>
      <c r="T813" s="1"/>
    </row>
    <row r="814" spans="14:20" x14ac:dyDescent="0.25">
      <c r="N814" s="1"/>
      <c r="O814" s="1"/>
      <c r="P814" s="1"/>
      <c r="Q814" s="1"/>
      <c r="R814" s="1"/>
      <c r="S814" s="1"/>
      <c r="T814" s="1"/>
    </row>
    <row r="815" spans="14:20" x14ac:dyDescent="0.25">
      <c r="N815" s="1"/>
      <c r="O815" s="1"/>
      <c r="P815" s="1"/>
      <c r="Q815" s="1"/>
      <c r="R815" s="1"/>
      <c r="S815" s="1"/>
      <c r="T815" s="1"/>
    </row>
    <row r="816" spans="14:20" x14ac:dyDescent="0.25">
      <c r="N816" s="1"/>
      <c r="O816" s="1"/>
      <c r="P816" s="1"/>
      <c r="Q816" s="1"/>
      <c r="R816" s="1"/>
      <c r="S816" s="1"/>
      <c r="T816" s="1"/>
    </row>
    <row r="817" spans="14:20" x14ac:dyDescent="0.25">
      <c r="N817" s="1"/>
      <c r="O817" s="1"/>
      <c r="P817" s="1"/>
      <c r="Q817" s="1"/>
      <c r="R817" s="1"/>
      <c r="S817" s="1"/>
      <c r="T817" s="1"/>
    </row>
    <row r="818" spans="14:20" x14ac:dyDescent="0.25">
      <c r="N818" s="1"/>
      <c r="O818" s="1"/>
      <c r="P818" s="1"/>
      <c r="Q818" s="1"/>
      <c r="R818" s="1"/>
      <c r="S818" s="1"/>
      <c r="T818" s="1"/>
    </row>
    <row r="819" spans="14:20" x14ac:dyDescent="0.25">
      <c r="N819" s="1"/>
      <c r="O819" s="1"/>
      <c r="P819" s="1"/>
      <c r="Q819" s="1"/>
      <c r="R819" s="1"/>
      <c r="S819" s="1"/>
      <c r="T819" s="1"/>
    </row>
    <row r="820" spans="14:20" x14ac:dyDescent="0.25">
      <c r="N820" s="1"/>
      <c r="O820" s="1"/>
      <c r="P820" s="1"/>
      <c r="Q820" s="1"/>
      <c r="R820" s="1"/>
      <c r="S820" s="1"/>
      <c r="T820" s="1"/>
    </row>
    <row r="821" spans="14:20" x14ac:dyDescent="0.25">
      <c r="N821" s="1"/>
      <c r="O821" s="1"/>
      <c r="P821" s="1"/>
      <c r="Q821" s="1"/>
      <c r="R821" s="1"/>
      <c r="S821" s="1"/>
      <c r="T821" s="1"/>
    </row>
    <row r="822" spans="14:20" x14ac:dyDescent="0.25">
      <c r="N822" s="1"/>
      <c r="O822" s="1"/>
      <c r="P822" s="1"/>
      <c r="Q822" s="1"/>
      <c r="R822" s="1"/>
      <c r="S822" s="1"/>
      <c r="T822" s="1"/>
    </row>
    <row r="823" spans="14:20" x14ac:dyDescent="0.25">
      <c r="N823" s="1"/>
      <c r="O823" s="1"/>
      <c r="P823" s="1"/>
      <c r="Q823" s="1"/>
      <c r="R823" s="1"/>
      <c r="S823" s="1"/>
      <c r="T823" s="1"/>
    </row>
    <row r="824" spans="14:20" x14ac:dyDescent="0.25">
      <c r="N824" s="1"/>
      <c r="O824" s="1"/>
      <c r="P824" s="1"/>
      <c r="Q824" s="1"/>
      <c r="R824" s="1"/>
      <c r="S824" s="1"/>
      <c r="T824" s="1"/>
    </row>
    <row r="825" spans="14:20" x14ac:dyDescent="0.25">
      <c r="N825" s="1"/>
      <c r="O825" s="1"/>
      <c r="P825" s="1"/>
      <c r="Q825" s="1"/>
      <c r="R825" s="1"/>
      <c r="S825" s="1"/>
      <c r="T825" s="1"/>
    </row>
    <row r="826" spans="14:20" x14ac:dyDescent="0.25">
      <c r="N826" s="1"/>
      <c r="O826" s="1"/>
      <c r="P826" s="1"/>
      <c r="Q826" s="1"/>
      <c r="R826" s="1"/>
      <c r="S826" s="1"/>
      <c r="T826" s="1"/>
    </row>
    <row r="827" spans="14:20" x14ac:dyDescent="0.25">
      <c r="N827" s="1"/>
      <c r="O827" s="1"/>
      <c r="P827" s="1"/>
      <c r="Q827" s="1"/>
      <c r="R827" s="1"/>
      <c r="S827" s="1"/>
      <c r="T827" s="1"/>
    </row>
    <row r="828" spans="14:20" x14ac:dyDescent="0.25">
      <c r="N828" s="1"/>
      <c r="O828" s="1"/>
      <c r="P828" s="1"/>
      <c r="Q828" s="1"/>
      <c r="R828" s="1"/>
      <c r="S828" s="1"/>
      <c r="T828" s="1"/>
    </row>
    <row r="829" spans="14:20" x14ac:dyDescent="0.25">
      <c r="N829" s="1"/>
      <c r="O829" s="1"/>
      <c r="P829" s="1"/>
      <c r="Q829" s="1"/>
      <c r="R829" s="1"/>
      <c r="S829" s="1"/>
      <c r="T829" s="1"/>
    </row>
    <row r="830" spans="14:20" x14ac:dyDescent="0.25">
      <c r="N830" s="1"/>
      <c r="O830" s="1"/>
      <c r="P830" s="1"/>
      <c r="Q830" s="1"/>
      <c r="R830" s="1"/>
      <c r="S830" s="1"/>
      <c r="T830" s="1"/>
    </row>
    <row r="831" spans="14:20" x14ac:dyDescent="0.25">
      <c r="N831" s="1"/>
      <c r="O831" s="1"/>
      <c r="P831" s="1"/>
      <c r="Q831" s="1"/>
      <c r="R831" s="1"/>
      <c r="S831" s="1"/>
      <c r="T831" s="1"/>
    </row>
    <row r="832" spans="14:20" x14ac:dyDescent="0.25">
      <c r="N832" s="1"/>
      <c r="O832" s="1"/>
      <c r="P832" s="1"/>
      <c r="Q832" s="1"/>
      <c r="R832" s="1"/>
      <c r="S832" s="1"/>
      <c r="T832" s="1"/>
    </row>
    <row r="833" spans="14:20" x14ac:dyDescent="0.25">
      <c r="N833" s="1"/>
      <c r="O833" s="1"/>
      <c r="P833" s="1"/>
      <c r="Q833" s="1"/>
      <c r="R833" s="1"/>
      <c r="S833" s="1"/>
      <c r="T833" s="1"/>
    </row>
    <row r="834" spans="14:20" x14ac:dyDescent="0.25">
      <c r="N834" s="1"/>
      <c r="O834" s="1"/>
      <c r="P834" s="1"/>
      <c r="Q834" s="1"/>
      <c r="R834" s="1"/>
      <c r="S834" s="1"/>
      <c r="T834" s="1"/>
    </row>
    <row r="835" spans="14:20" x14ac:dyDescent="0.25">
      <c r="N835" s="1"/>
      <c r="O835" s="1"/>
      <c r="P835" s="1"/>
      <c r="Q835" s="1"/>
      <c r="R835" s="1"/>
      <c r="S835" s="1"/>
      <c r="T835" s="1"/>
    </row>
    <row r="836" spans="14:20" x14ac:dyDescent="0.25">
      <c r="N836" s="1"/>
      <c r="O836" s="1"/>
      <c r="P836" s="1"/>
      <c r="Q836" s="1"/>
      <c r="R836" s="1"/>
      <c r="S836" s="1"/>
      <c r="T836" s="1"/>
    </row>
    <row r="837" spans="14:20" x14ac:dyDescent="0.25">
      <c r="N837" s="1"/>
      <c r="O837" s="1"/>
      <c r="P837" s="1"/>
      <c r="Q837" s="1"/>
      <c r="R837" s="1"/>
      <c r="S837" s="1"/>
      <c r="T837" s="1"/>
    </row>
    <row r="838" spans="14:20" x14ac:dyDescent="0.25">
      <c r="N838" s="1"/>
      <c r="O838" s="1"/>
      <c r="P838" s="1"/>
      <c r="Q838" s="1"/>
      <c r="R838" s="1"/>
      <c r="S838" s="1"/>
      <c r="T838" s="1"/>
    </row>
    <row r="839" spans="14:20" x14ac:dyDescent="0.25">
      <c r="N839" s="1"/>
      <c r="O839" s="1"/>
      <c r="P839" s="1"/>
      <c r="Q839" s="1"/>
      <c r="R839" s="1"/>
      <c r="S839" s="1"/>
      <c r="T839" s="1"/>
    </row>
    <row r="840" spans="14:20" x14ac:dyDescent="0.25">
      <c r="N840" s="1"/>
      <c r="O840" s="1"/>
      <c r="P840" s="1"/>
      <c r="Q840" s="1"/>
      <c r="R840" s="1"/>
      <c r="S840" s="1"/>
      <c r="T840" s="1"/>
    </row>
    <row r="841" spans="14:20" x14ac:dyDescent="0.25">
      <c r="N841" s="1"/>
      <c r="O841" s="1"/>
      <c r="P841" s="1"/>
      <c r="Q841" s="1"/>
      <c r="R841" s="1"/>
      <c r="S841" s="1"/>
      <c r="T841" s="1"/>
    </row>
    <row r="842" spans="14:20" x14ac:dyDescent="0.25">
      <c r="N842" s="1"/>
      <c r="O842" s="1"/>
      <c r="P842" s="1"/>
      <c r="Q842" s="1"/>
      <c r="R842" s="1"/>
      <c r="S842" s="1"/>
      <c r="T842" s="1"/>
    </row>
    <row r="843" spans="14:20" x14ac:dyDescent="0.25">
      <c r="N843" s="1"/>
      <c r="O843" s="1"/>
      <c r="P843" s="1"/>
      <c r="Q843" s="1"/>
      <c r="R843" s="1"/>
      <c r="S843" s="1"/>
      <c r="T843" s="1"/>
    </row>
    <row r="844" spans="14:20" x14ac:dyDescent="0.25">
      <c r="N844" s="1"/>
      <c r="O844" s="1"/>
      <c r="P844" s="1"/>
      <c r="Q844" s="1"/>
      <c r="R844" s="1"/>
      <c r="S844" s="1"/>
      <c r="T844" s="1"/>
    </row>
    <row r="845" spans="14:20" x14ac:dyDescent="0.25">
      <c r="N845" s="1"/>
      <c r="O845" s="1"/>
      <c r="P845" s="1"/>
      <c r="Q845" s="1"/>
      <c r="R845" s="1"/>
      <c r="S845" s="1"/>
      <c r="T845" s="1"/>
    </row>
    <row r="846" spans="14:20" x14ac:dyDescent="0.25">
      <c r="N846" s="1"/>
      <c r="O846" s="1"/>
      <c r="P846" s="1"/>
      <c r="Q846" s="1"/>
      <c r="R846" s="1"/>
      <c r="S846" s="1"/>
      <c r="T846" s="1"/>
    </row>
    <row r="847" spans="14:20" x14ac:dyDescent="0.25">
      <c r="N847" s="1"/>
      <c r="O847" s="1"/>
      <c r="P847" s="1"/>
      <c r="Q847" s="1"/>
      <c r="R847" s="1"/>
      <c r="S847" s="1"/>
      <c r="T847" s="1"/>
    </row>
    <row r="848" spans="14:20" x14ac:dyDescent="0.25">
      <c r="N848" s="1"/>
      <c r="O848" s="1"/>
      <c r="P848" s="1"/>
      <c r="Q848" s="1"/>
      <c r="R848" s="1"/>
      <c r="S848" s="1"/>
      <c r="T848" s="1"/>
    </row>
    <row r="849" spans="14:20" x14ac:dyDescent="0.25">
      <c r="N849" s="1"/>
      <c r="O849" s="1"/>
      <c r="P849" s="1"/>
      <c r="Q849" s="1"/>
      <c r="R849" s="1"/>
      <c r="S849" s="1"/>
      <c r="T849" s="1"/>
    </row>
    <row r="850" spans="14:20" x14ac:dyDescent="0.25">
      <c r="N850" s="1"/>
      <c r="O850" s="1"/>
      <c r="P850" s="1"/>
      <c r="Q850" s="1"/>
      <c r="R850" s="1"/>
      <c r="S850" s="1"/>
      <c r="T850" s="1"/>
    </row>
    <row r="851" spans="14:20" x14ac:dyDescent="0.25">
      <c r="N851" s="1"/>
      <c r="O851" s="1"/>
      <c r="P851" s="1"/>
      <c r="Q851" s="1"/>
      <c r="R851" s="1"/>
      <c r="S851" s="1"/>
      <c r="T851" s="1"/>
    </row>
    <row r="852" spans="14:20" x14ac:dyDescent="0.25">
      <c r="N852" s="1"/>
      <c r="O852" s="1"/>
      <c r="P852" s="1"/>
      <c r="Q852" s="1"/>
      <c r="R852" s="1"/>
      <c r="S852" s="1"/>
      <c r="T852" s="1"/>
    </row>
    <row r="853" spans="14:20" x14ac:dyDescent="0.25">
      <c r="N853" s="1"/>
      <c r="O853" s="1"/>
      <c r="P853" s="1"/>
      <c r="Q853" s="1"/>
      <c r="R853" s="1"/>
      <c r="S853" s="1"/>
      <c r="T853" s="1"/>
    </row>
    <row r="854" spans="14:20" x14ac:dyDescent="0.25">
      <c r="N854" s="1"/>
      <c r="O854" s="1"/>
      <c r="P854" s="1"/>
      <c r="Q854" s="1"/>
      <c r="R854" s="1"/>
      <c r="S854" s="1"/>
      <c r="T854" s="1"/>
    </row>
    <row r="855" spans="14:20" x14ac:dyDescent="0.25">
      <c r="N855" s="1"/>
      <c r="O855" s="1"/>
      <c r="P855" s="1"/>
      <c r="Q855" s="1"/>
      <c r="R855" s="1"/>
      <c r="S855" s="1"/>
      <c r="T855" s="1"/>
    </row>
    <row r="856" spans="14:20" x14ac:dyDescent="0.25">
      <c r="N856" s="1"/>
      <c r="O856" s="1"/>
      <c r="P856" s="1"/>
      <c r="Q856" s="1"/>
      <c r="R856" s="1"/>
      <c r="S856" s="1"/>
      <c r="T856" s="1"/>
    </row>
    <row r="857" spans="14:20" x14ac:dyDescent="0.25">
      <c r="N857" s="1"/>
      <c r="O857" s="1"/>
      <c r="P857" s="1"/>
      <c r="Q857" s="1"/>
      <c r="R857" s="1"/>
      <c r="S857" s="1"/>
      <c r="T857" s="1"/>
    </row>
    <row r="858" spans="14:20" x14ac:dyDescent="0.25">
      <c r="N858" s="1"/>
      <c r="O858" s="1"/>
      <c r="P858" s="1"/>
      <c r="Q858" s="1"/>
      <c r="R858" s="1"/>
      <c r="S858" s="1"/>
      <c r="T858" s="1"/>
    </row>
    <row r="859" spans="14:20" x14ac:dyDescent="0.25">
      <c r="N859" s="1"/>
      <c r="O859" s="1"/>
      <c r="P859" s="1"/>
      <c r="Q859" s="1"/>
      <c r="R859" s="1"/>
      <c r="S859" s="1"/>
      <c r="T859" s="1"/>
    </row>
    <row r="860" spans="14:20" x14ac:dyDescent="0.25">
      <c r="N860" s="1"/>
      <c r="O860" s="1"/>
      <c r="P860" s="1"/>
      <c r="Q860" s="1"/>
      <c r="R860" s="1"/>
      <c r="S860" s="1"/>
      <c r="T860" s="1"/>
    </row>
    <row r="861" spans="14:20" x14ac:dyDescent="0.25">
      <c r="N861" s="1"/>
      <c r="O861" s="1"/>
      <c r="P861" s="1"/>
      <c r="Q861" s="1"/>
      <c r="R861" s="1"/>
      <c r="S861" s="1"/>
      <c r="T861" s="1"/>
    </row>
    <row r="862" spans="14:20" x14ac:dyDescent="0.25">
      <c r="N862" s="1"/>
      <c r="O862" s="1"/>
      <c r="P862" s="1"/>
      <c r="Q862" s="1"/>
      <c r="R862" s="1"/>
      <c r="S862" s="1"/>
      <c r="T862" s="1"/>
    </row>
    <row r="863" spans="14:20" x14ac:dyDescent="0.25">
      <c r="N863" s="1"/>
      <c r="O863" s="1"/>
      <c r="P863" s="1"/>
      <c r="Q863" s="1"/>
      <c r="R863" s="1"/>
      <c r="S863" s="1"/>
      <c r="T863" s="1"/>
    </row>
    <row r="864" spans="14:20" x14ac:dyDescent="0.25">
      <c r="N864" s="1"/>
      <c r="O864" s="1"/>
      <c r="P864" s="1"/>
      <c r="Q864" s="1"/>
      <c r="R864" s="1"/>
      <c r="S864" s="1"/>
      <c r="T864" s="1"/>
    </row>
    <row r="865" spans="14:20" x14ac:dyDescent="0.25">
      <c r="N865" s="1"/>
      <c r="O865" s="1"/>
      <c r="P865" s="1"/>
      <c r="Q865" s="1"/>
      <c r="R865" s="1"/>
      <c r="S865" s="1"/>
      <c r="T865" s="1"/>
    </row>
    <row r="866" spans="14:20" x14ac:dyDescent="0.25">
      <c r="N866" s="1"/>
      <c r="O866" s="1"/>
      <c r="P866" s="1"/>
      <c r="Q866" s="1"/>
      <c r="R866" s="1"/>
      <c r="S866" s="1"/>
      <c r="T866" s="1"/>
    </row>
    <row r="867" spans="14:20" x14ac:dyDescent="0.25">
      <c r="N867" s="1"/>
      <c r="O867" s="1"/>
      <c r="P867" s="1"/>
      <c r="Q867" s="1"/>
      <c r="R867" s="1"/>
      <c r="S867" s="1"/>
      <c r="T867" s="1"/>
    </row>
    <row r="868" spans="14:20" x14ac:dyDescent="0.25">
      <c r="N868" s="1"/>
      <c r="O868" s="1"/>
      <c r="P868" s="1"/>
      <c r="Q868" s="1"/>
      <c r="R868" s="1"/>
      <c r="S868" s="1"/>
      <c r="T868" s="1"/>
    </row>
    <row r="869" spans="14:20" x14ac:dyDescent="0.25">
      <c r="N869" s="1"/>
      <c r="O869" s="1"/>
      <c r="P869" s="1"/>
      <c r="Q869" s="1"/>
      <c r="R869" s="1"/>
      <c r="S869" s="1"/>
      <c r="T869" s="1"/>
    </row>
    <row r="870" spans="14:20" x14ac:dyDescent="0.25">
      <c r="N870" s="1"/>
      <c r="O870" s="1"/>
      <c r="P870" s="1"/>
      <c r="Q870" s="1"/>
      <c r="R870" s="1"/>
      <c r="S870" s="1"/>
      <c r="T870" s="1"/>
    </row>
    <row r="871" spans="14:20" x14ac:dyDescent="0.25">
      <c r="N871" s="1"/>
      <c r="O871" s="1"/>
      <c r="P871" s="1"/>
      <c r="Q871" s="1"/>
      <c r="R871" s="1"/>
      <c r="S871" s="1"/>
      <c r="T871" s="1"/>
    </row>
    <row r="872" spans="14:20" x14ac:dyDescent="0.25">
      <c r="N872" s="1"/>
      <c r="O872" s="1"/>
      <c r="P872" s="1"/>
      <c r="Q872" s="1"/>
      <c r="R872" s="1"/>
      <c r="S872" s="1"/>
      <c r="T872" s="1"/>
    </row>
    <row r="873" spans="14:20" x14ac:dyDescent="0.25">
      <c r="N873" s="1"/>
      <c r="O873" s="1"/>
      <c r="P873" s="1"/>
      <c r="Q873" s="1"/>
      <c r="R873" s="1"/>
      <c r="S873" s="1"/>
      <c r="T873" s="1"/>
    </row>
    <row r="874" spans="14:20" x14ac:dyDescent="0.25">
      <c r="N874" s="1"/>
      <c r="O874" s="1"/>
      <c r="P874" s="1"/>
      <c r="Q874" s="1"/>
      <c r="R874" s="1"/>
      <c r="S874" s="1"/>
      <c r="T874" s="1"/>
    </row>
    <row r="875" spans="14:20" x14ac:dyDescent="0.25">
      <c r="N875" s="1"/>
      <c r="O875" s="1"/>
      <c r="P875" s="1"/>
      <c r="Q875" s="1"/>
      <c r="R875" s="1"/>
      <c r="S875" s="1"/>
      <c r="T875" s="1"/>
    </row>
    <row r="876" spans="14:20" x14ac:dyDescent="0.25">
      <c r="N876" s="1"/>
      <c r="O876" s="1"/>
      <c r="P876" s="1"/>
      <c r="Q876" s="1"/>
      <c r="R876" s="1"/>
      <c r="S876" s="1"/>
      <c r="T876" s="1"/>
    </row>
    <row r="877" spans="14:20" x14ac:dyDescent="0.25">
      <c r="N877" s="1"/>
      <c r="O877" s="1"/>
      <c r="P877" s="1"/>
      <c r="Q877" s="1"/>
      <c r="R877" s="1"/>
      <c r="S877" s="1"/>
      <c r="T877" s="1"/>
    </row>
  </sheetData>
  <sheetProtection algorithmName="SHA-512" hashValue="8Qw+YZ0Ly3DG1A5RdgEbFoe5JtGPguIgsDDPwWzXKdzbyjDgo/CInGFPb1N6Dfu9nlBUz524/qNL/aqtHR1LyQ==" saltValue="2HWtnGRdiR2UVdVI1URIpQ==" spinCount="100000" sheet="1" objects="1" scenarios="1"/>
  <mergeCells count="7">
    <mergeCell ref="A15:C15"/>
    <mergeCell ref="A12:C13"/>
    <mergeCell ref="N1:T1"/>
    <mergeCell ref="N11:T11"/>
    <mergeCell ref="A10:C11"/>
    <mergeCell ref="A14:C14"/>
    <mergeCell ref="A9:C9"/>
  </mergeCells>
  <dataValidations count="3">
    <dataValidation type="list" allowBlank="1" showInputMessage="1" showErrorMessage="1" sqref="B4" xr:uid="{00000000-0002-0000-0000-000000000000}">
      <formula1>$I$2:$I$14</formula1>
    </dataValidation>
    <dataValidation type="list" allowBlank="1" showInputMessage="1" showErrorMessage="1" sqref="B5 B7:B8 E4:E5" xr:uid="{00000000-0002-0000-0000-000001000000}">
      <formula1>$J$2:$J$13</formula1>
    </dataValidation>
    <dataValidation type="list" allowBlank="1" showInputMessage="1" showErrorMessage="1" sqref="B6" xr:uid="{00000000-0002-0000-0000-000002000000}">
      <formula1>$K$2:$K$16</formula1>
    </dataValidation>
  </dataValidations>
  <hyperlinks>
    <hyperlink ref="A16" r:id="rId1" display="https://www.youtube.com/watch?v=bQygjApp2Ew&amp;t=0s" xr:uid="{0BB9BF19-269B-4209-850C-E1B5086F8536}"/>
    <hyperlink ref="A4" r:id="rId2" xr:uid="{361CEA1F-2650-4614-8635-4DBD082DF034}"/>
    <hyperlink ref="A5" r:id="rId3" xr:uid="{7F27A24A-4BF7-47B5-9F4D-215D770FF44C}"/>
    <hyperlink ref="A19" r:id="rId4" xr:uid="{04FE94A0-B5EE-40C6-A95D-60CE3AF8D2CB}"/>
    <hyperlink ref="A6" r:id="rId5" xr:uid="{A82201F0-39A2-4C77-99DD-2A6EE806E62F}"/>
    <hyperlink ref="A7" r:id="rId6" xr:uid="{C86778FF-DE46-4E95-81C5-102F77EE0215}"/>
    <hyperlink ref="A8" r:id="rId7" xr:uid="{A272BF7A-359B-4DCE-82A0-51B6E23540A4}"/>
    <hyperlink ref="D4" r:id="rId8" xr:uid="{28805CEE-8E67-49C8-902E-3082AA4D3862}"/>
    <hyperlink ref="D5" r:id="rId9" xr:uid="{8ED1B7C5-A76D-4A02-A0AB-72F216C275C5}"/>
  </hyperlinks>
  <pageMargins left="0.7" right="0.7" top="0.75" bottom="0.75" header="0.3" footer="0.3"/>
  <pageSetup paperSize="9" orientation="portrait" verticalDpi="0"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A1:DY2498"/>
  <sheetViews>
    <sheetView workbookViewId="0">
      <selection activeCell="D2" sqref="D2"/>
    </sheetView>
  </sheetViews>
  <sheetFormatPr baseColWidth="10" defaultRowHeight="15" x14ac:dyDescent="0.25"/>
  <cols>
    <col min="1" max="1" width="56.5703125" customWidth="1"/>
    <col min="2" max="2" width="16" customWidth="1"/>
    <col min="4" max="4" width="32.140625" bestFit="1" customWidth="1"/>
    <col min="5" max="5" width="33.28515625" bestFit="1" customWidth="1"/>
    <col min="7" max="7" width="14.28515625" bestFit="1" customWidth="1"/>
    <col min="8" max="8" width="99.140625" bestFit="1" customWidth="1"/>
    <col min="9" max="9" width="11.42578125" style="8"/>
    <col min="10" max="10" width="11.42578125" style="1"/>
    <col min="11" max="11" width="11.42578125" style="8"/>
    <col min="12" max="12" width="11.42578125" style="8" customWidth="1"/>
    <col min="13" max="15" width="11.42578125" style="8" hidden="1" customWidth="1"/>
    <col min="16" max="16" width="11.42578125" style="8" customWidth="1"/>
    <col min="17" max="17" width="11.42578125" style="8"/>
    <col min="18" max="129" width="11.42578125" style="1"/>
  </cols>
  <sheetData>
    <row r="1" spans="1:17" s="1" customFormat="1" ht="15.75" x14ac:dyDescent="0.25">
      <c r="A1" s="210" t="s">
        <v>146</v>
      </c>
      <c r="B1" s="210"/>
      <c r="C1" s="210"/>
      <c r="D1" s="210"/>
      <c r="E1" s="210"/>
      <c r="F1" s="210"/>
      <c r="G1" s="210"/>
      <c r="H1" s="210"/>
      <c r="I1" s="108"/>
      <c r="J1" s="59"/>
      <c r="K1" s="8"/>
      <c r="L1" s="8"/>
      <c r="M1" s="8"/>
      <c r="N1" s="8"/>
      <c r="O1" s="8"/>
      <c r="P1" s="8"/>
      <c r="Q1" s="8"/>
    </row>
    <row r="2" spans="1:17" x14ac:dyDescent="0.25">
      <c r="A2" s="211" t="s">
        <v>142</v>
      </c>
      <c r="B2" s="211"/>
      <c r="C2" s="211"/>
      <c r="D2" s="1"/>
      <c r="E2" s="1"/>
      <c r="F2" s="1"/>
      <c r="G2" s="1"/>
      <c r="H2" s="1"/>
    </row>
    <row r="3" spans="1:17" x14ac:dyDescent="0.25">
      <c r="A3" s="211" t="s">
        <v>253</v>
      </c>
      <c r="B3" s="211"/>
      <c r="C3" s="211"/>
      <c r="D3" s="1"/>
      <c r="E3" s="1"/>
      <c r="F3" s="1"/>
      <c r="G3" s="1"/>
      <c r="H3" s="1"/>
    </row>
    <row r="4" spans="1:17" ht="15.75" thickBot="1" x14ac:dyDescent="0.3">
      <c r="A4" s="213" t="s">
        <v>0</v>
      </c>
      <c r="B4" s="213"/>
      <c r="C4" s="213"/>
      <c r="D4" s="213"/>
      <c r="E4" s="213"/>
      <c r="F4" s="213"/>
      <c r="G4" s="213"/>
      <c r="H4" s="213"/>
    </row>
    <row r="5" spans="1:17" x14ac:dyDescent="0.25">
      <c r="A5" s="72" t="s">
        <v>1</v>
      </c>
      <c r="B5" s="208" t="s">
        <v>324</v>
      </c>
      <c r="C5" s="209"/>
      <c r="D5" s="209"/>
      <c r="E5" s="209"/>
      <c r="F5" s="1"/>
      <c r="G5" s="1"/>
      <c r="H5" s="147" t="s">
        <v>325</v>
      </c>
      <c r="M5" s="62" t="s">
        <v>7</v>
      </c>
      <c r="N5" s="62" t="s">
        <v>8</v>
      </c>
      <c r="O5" s="62" t="s">
        <v>9</v>
      </c>
    </row>
    <row r="6" spans="1:17" x14ac:dyDescent="0.25">
      <c r="A6" s="73" t="s">
        <v>2</v>
      </c>
      <c r="B6" s="74" t="s">
        <v>3</v>
      </c>
      <c r="C6" s="74" t="s">
        <v>4</v>
      </c>
      <c r="D6" s="74" t="s">
        <v>5</v>
      </c>
      <c r="E6" s="74" t="s">
        <v>6</v>
      </c>
      <c r="F6" s="74" t="s">
        <v>124</v>
      </c>
      <c r="G6" s="74" t="s">
        <v>125</v>
      </c>
      <c r="H6" s="74" t="s">
        <v>123</v>
      </c>
      <c r="M6" s="62" t="s">
        <v>10</v>
      </c>
      <c r="N6" s="62" t="s">
        <v>22</v>
      </c>
      <c r="O6" s="99" t="s">
        <v>29</v>
      </c>
    </row>
    <row r="7" spans="1:17" x14ac:dyDescent="0.25">
      <c r="A7" s="79" t="s">
        <v>7</v>
      </c>
      <c r="B7" s="65">
        <f>IF('Résultat du test'!B4='Niveau 1'!M6,"2",IF('Résultat du test'!B4='Niveau 1'!M7,"5",IF('Résultat du test'!B4=M8,"8",IF('Résultat du test'!B4=M9,"12",IF('Résultat du test'!B4=M10,14,IF('Résultat du test'!B4=M11,17,IF('Résultat du test'!B4=M12,22,IF('Résultat du test'!B4=M13,27,IF('Résultat du test'!B4=M14,30,IF('Résultat du test'!B4=M15,30,IF('Résultat du test'!B4=M16,30,IF('Résultat du test'!B4=M17,35,0))))))))))))</f>
        <v>0</v>
      </c>
      <c r="C7" s="65">
        <f>IF('Résultat du test'!B4='Niveau 1'!M6,"3",IF('Résultat du test'!B4='Niveau 1'!M7,"6",IF('Résultat du test'!B4=M8,"9",IF('Résultat du test'!B4=M9,"17",IF('Résultat du test'!B4=M10,18,IF('Résultat du test'!B4=M11,19,IF('Résultat du test'!B4=M12,24,IF('Résultat du test'!B4=M13,29,IF('Résultat du test'!B4=M14,34,IF('Résultat du test'!B4=M15,39,IF('Résultat du test'!B4=M16,44,IF('Résultat du test'!B4=M17,49,0))))))))))))</f>
        <v>0</v>
      </c>
      <c r="D7" s="65">
        <f>IF('Résultat du test'!B4='Niveau 1'!M6,"2",IF('Résultat du test'!B4='Niveau 1'!M7,"4",IF('Résultat du test'!B4=M8,"7",IF('Résultat du test'!B4=M9,"13",IF('Résultat du test'!B4=M10,14,IF('Résultat du test'!B4=M11,15,IF('Résultat du test'!B4=M12,20,IF('Résultat du test'!B4=M13,25,IF('Résultat du test'!B4=M14,30,IF('Résultat du test'!B4=M15,35,IF('Résultat du test'!B4=M16,40,IF('Résultat du test'!B4=M17,45,0))))))))))))</f>
        <v>0</v>
      </c>
      <c r="E7" s="65">
        <f>IF('Résultat du test'!B4='Niveau 1'!M6,"Max de répétitions et minimum 3",IF('Résultat du test'!B4='Niveau 1'!M7,"Max de répétitions et minimum 5",IF('Résultat du test'!B4=M8,"Max de répétitions et minimum 8",IF('Résultat du test'!B4=M9,"Max de répétitions et minimum 17",IF('Résultat du test'!B4=M10,"Max de répétitions et minimum 20",IF('Résultat du test'!B4=M11,"Max de répétitions et minimum 20",IF('Résultat du test'!B4=M12,"Max de répétitions et minimum 25",IF('Résultat du test'!B4=M13,"Max de répétitions et minimum 35",IF('Résultat du test'!B4=M14,"Max de répétitions et minimum 40",IF('Résultat du test'!B4=M15,"Max de répétitions et minimum 42",IF('Résultat du test'!B4=M16,"Max de répétitions et minimum 55",IF('Résultat du test'!B4=M17,"Max de répétitions et minimum 55",0))))))))))))</f>
        <v>0</v>
      </c>
      <c r="F7" s="66" t="s">
        <v>127</v>
      </c>
      <c r="G7" s="66" t="s">
        <v>128</v>
      </c>
      <c r="H7" s="67" t="str">
        <f>IF('Résultat du test'!B4='Niveau 1'!M6,"Faites des pompes à genoux ou debout contre un mur si vous ne pouvez pas faire de pompes traditionnelles.","")</f>
        <v/>
      </c>
      <c r="M7" s="99" t="s">
        <v>11</v>
      </c>
      <c r="N7" s="99" t="s">
        <v>23</v>
      </c>
      <c r="O7" s="99" t="s">
        <v>30</v>
      </c>
    </row>
    <row r="8" spans="1:17" x14ac:dyDescent="0.25">
      <c r="A8" s="79" t="s">
        <v>178</v>
      </c>
      <c r="B8" s="68">
        <f>IF('Résultat du test'!B5='Niveau 1'!N6,"2",IF('Résultat du test'!B5='Niveau 1'!N7,"4",IF('Résultat du test'!B5=N8,"2",IF('Résultat du test'!B5=N9,"3",IF('Résultat du test'!B5=N10,6,IF('Résultat du test'!B5=N11,8,IF('Résultat du test'!B5=N12,12,IF('Résultat du test'!B5=N13,16,IF('Résultat du test'!B5=N14,20,IF('Résultat du test'!B5=N15,23,IF('Résultat du test'!B5=N16,25,0)))))))))))</f>
        <v>0</v>
      </c>
      <c r="C8" s="68">
        <f>IF('Résultat du test'!B5='Niveau 1'!N6,"7",IF('Résultat du test'!B5='Niveau 1'!N7,"9",IF('Résultat du test'!B5=N8,"3",IF('Résultat du test'!B5=N9,"5",IF('Résultat du test'!B5=N10,8,IF('Résultat du test'!B5=N11,11,IF('Résultat du test'!B5=N12,16,IF('Résultat du test'!B5=N13,18,IF('Résultat du test'!B5=N14,25,IF('Résultat du test'!B5=N15,27,IF('Résultat du test'!B5=N16,28,0)))))))))))</f>
        <v>0</v>
      </c>
      <c r="D8" s="68">
        <f>IF('Résultat du test'!B5='Niveau 1'!N6,"5",IF('Résultat du test'!B5='Niveau 1'!N7,"6",IF('Résultat du test'!B5=N8,"2",IF('Résultat du test'!B5=N9,"3",IF('Résultat du test'!B5=N10,6,IF('Résultat du test'!B5=N11,8,IF('Résultat du test'!B5=N12,12,IF('Résultat du test'!B5=N13,15,IF('Résultat du test'!B5=N14,19,IF('Résultat du test'!B5=N15,22,IF('Résultat du test'!B5=N16,24,0)))))))))))</f>
        <v>0</v>
      </c>
      <c r="E8" s="68">
        <f>IF('Résultat du test'!B5='Niveau 1'!N6,"6",IF('Résultat du test'!B5='Niveau 1'!N7,"7",IF('Résultat du test'!B5=N8,"Max de répétitions et minimum 3",IF('Résultat du test'!B5=N9,"Max de répétitions et minimum 4",IF('Résultat du test'!B5=N10,"Max de répétitions et minimum 7",IF('Résultat du test'!B5=N11,"Max de répétitions et minimum 9",IF('Résultat du test'!B5=N12,"Max de répétitions et minimum 13",IF('Résultat du test'!B5=N13,"Max de répétitions et minimum 16",IF('Résultat du test'!B5=N14,"Max de répétitions et minimum 20",IF('Résultat du test'!B5=N15,"Max de répétitions et minimum 21",IF('Résultat du test'!B5=N16,"Max de répétitions et minimum 25",0)))))))))))</f>
        <v>0</v>
      </c>
      <c r="F8" s="66" t="s">
        <v>126</v>
      </c>
      <c r="G8" s="66" t="s">
        <v>127</v>
      </c>
      <c r="H8" s="69" t="str">
        <f>IF(OR('Résultat du test'!B5='Niveau 1'!N6,'Résultat du test'!B5='Niveau 1'!N7),"Toutes les répétitions en excentrique : voir vidéo","")</f>
        <v/>
      </c>
      <c r="M8" s="99" t="s">
        <v>12</v>
      </c>
      <c r="N8" s="99" t="s">
        <v>24</v>
      </c>
      <c r="O8" s="99" t="s">
        <v>31</v>
      </c>
    </row>
    <row r="9" spans="1:17" x14ac:dyDescent="0.25">
      <c r="A9" s="79" t="s">
        <v>302</v>
      </c>
      <c r="B9" s="68">
        <f>IF('Résultat du test'!B6='Niveau 1'!O6,"4",IF('Résultat du test'!B6='Niveau 1'!O7,"8",IF('Résultat du test'!B6=O8,"16",IF('Résultat du test'!B6=O9,"22",IF('Résultat du test'!B6=O10,26,IF('Résultat du test'!B6=O11,32,IF('Résultat du test'!B6=O12,38,IF('Résultat du test'!B6=O13,44,IF('Résultat du test'!B6=O14,50,IF('Résultat du test'!B6=O15,52,IF('Résultat du test'!B6=O16,50,IF('Résultat du test'!B6=O17,50,IF('Résultat du test'!B6=O18,60,IF('Résultat du test'!B6=O19,74,0))))))))))))))</f>
        <v>0</v>
      </c>
      <c r="C9" s="68">
        <f>IF('Résultat du test'!B6='Niveau 1'!O6,"6",IF('Résultat du test'!B6='Niveau 1'!O7,"8",IF('Résultat du test'!B6=O8,"16",IF('Résultat du test'!B6=O9,"22",IF('Résultat du test'!B6=O10,26,IF('Résultat du test'!B6=O11,32,IF('Résultat du test'!B6=O12,36,IF('Résultat du test'!B6=O13,44,IF('Résultat du test'!B6=O14,50,IF('Résultat du test'!B6=O15,52,IF('Résultat du test'!B6=O16,42,IF('Résultat du test'!B6=O17,52,IF('Résultat du test'!B6=O18,60,IF('Résultat du test'!B6=O19,64,0))))))))))))))</f>
        <v>0</v>
      </c>
      <c r="D9" s="68">
        <f>IF('Résultat du test'!B6='Niveau 1'!O6,"6",IF('Résultat du test'!B6='Niveau 1'!O7,"8",IF('Résultat du test'!B6=O8,"16",IF('Résultat du test'!B6=O9,"22",IF('Résultat du test'!B6=O10,26,IF('Résultat du test'!B6=O11,30,IF('Résultat du test'!B6=O12,36,IF('Résultat du test'!B6=O13,40,IF('Résultat du test'!B6=O14,48,IF('Résultat du test'!B6=O15,54,IF('Résultat du test'!B6=O16,56,IF('Résultat du test'!B6=O17,56,IF('Résultat du test'!B6=O18,60,IF('Résultat du test'!B6=O19,54,0))))))))))))))</f>
        <v>0</v>
      </c>
      <c r="E9" s="68">
        <f>IF('Résultat du test'!B6='Niveau 1'!O6,"Max de répétitions et minimum 7",IF('Résultat du test'!B6='Niveau 1'!O7,"Max de répétitions et minimum 10",IF('Résultat du test'!B6=O8,"Max de répétitions et minimum 10",IF('Résultat du test'!B6=O9,"Max de répétitions et minimum 24",IF('Résultat du test'!B6=O10,"Max de répétitions et minimum 28",IF('Résultat du test'!B6=O11,"Max de répétitions et minimum 32",IF('Résultat du test'!B6=O12,"Max de répétitions et minimum 40",IF('Résultat du test'!B6=O13,"Max de répétitions et minimum 46",IF('Résultat du test'!B6=O14,"Max de répétitions et minimum 50",IF('Résultat du test'!B6=O15,"Max de répétitions et minimum 60",IF('Résultat du test'!B6=O16,"Max de répétitions et minimum 65",IF('Résultat du test'!B6=O17,"Max de répétitions et minimum 70",IF('Résultat du test'!B6=O18,"Max de répétitions et minimum 60",IF('Résultat du test'!B6=O19,"Max de répétitions et minimum 64",0))))))))))))))</f>
        <v>0</v>
      </c>
      <c r="F9" s="66" t="s">
        <v>130</v>
      </c>
      <c r="G9" s="66" t="s">
        <v>128</v>
      </c>
      <c r="H9" s="67" t="s">
        <v>138</v>
      </c>
      <c r="M9" s="99" t="s">
        <v>13</v>
      </c>
      <c r="N9" s="99" t="s">
        <v>25</v>
      </c>
      <c r="O9" s="99" t="s">
        <v>32</v>
      </c>
    </row>
    <row r="10" spans="1:17" x14ac:dyDescent="0.25">
      <c r="A10" s="79" t="s">
        <v>168</v>
      </c>
      <c r="B10" s="68">
        <f>IF('Résultat du test'!B7='Résultat du test'!J3,"2",IF('Résultat du test'!B7='Résultat du test'!J4,"3",IF('Résultat du test'!B7='Résultat du test'!J5,"2",IF('Résultat du test'!B7='Résultat du test'!J6,"3",IF('Résultat du test'!B7='Résultat du test'!J7,6,IF('Résultat du test'!B7='Résultat du test'!J8,8,IF('Résultat du test'!B7='Résultat du test'!J9,12,IF('Résultat du test'!B7='Résultat du test'!J10,16,IF('Résultat du test'!B7='Résultat du test'!J11,20,IF('Résultat du test'!B7='Résultat du test'!J12,23,IF('Résultat du test'!B7='Résultat du test'!J13,25,0)))))))))))</f>
        <v>0</v>
      </c>
      <c r="C10" s="68">
        <f>IF('Résultat du test'!B7='Résultat du test'!J3,"3",IF('Résultat du test'!B7='Résultat du test'!J4,"2",IF('Résultat du test'!B7='Résultat du test'!J5,"3",IF('Résultat du test'!B7='Résultat du test'!J6,"5",IF('Résultat du test'!B7='Résultat du test'!J7,8,IF('Résultat du test'!B7='Résultat du test'!J8,11,IF('Résultat du test'!B7='Résultat du test'!J9,16,IF('Résultat du test'!B7='Résultat du test'!J10,18,IF('Résultat du test'!B7='Résultat du test'!J11,25,IF('Résultat du test'!B7='Résultat du test'!J12,27,IF('Résultat du test'!B7='Résultat du test'!J13,28,0)))))))))))</f>
        <v>0</v>
      </c>
      <c r="D10" s="68">
        <f>IF('Résultat du test'!B7='Résultat du test'!J3,"Max de répétitions",IF('Résultat du test'!B7='Résultat du test'!J4,"Max de répétitions",IF('Résultat du test'!B7='Résultat du test'!J5,"Max de répétitions et minimum 3",IF('Résultat du test'!B7='Résultat du test'!J6,"Max de répétitions et minimum 4",IF('Résultat du test'!B7='Résultat du test'!J7,"Max de répétitions et minimum 7",IF('Résultat du test'!B7='Résultat du test'!J8,"Max de répétitions et minimum 9",IF('Résultat du test'!B7='Résultat du test'!J9,"Max de répétitions et minimum 13",IF('Résultat du test'!B7='Résultat du test'!J10,"Max de répétitions et minimum 16",IF('Résultat du test'!B7='Résultat du test'!J11,"Max de répétitions et minimum 20",IF('Résultat du test'!B7='Résultat du test'!J12,"Max de répétitions et minimum 21",IF('Résultat du test'!B7='Résultat du test'!J13,"Max de répétitions et minimum 25",0)))))))))))</f>
        <v>0</v>
      </c>
      <c r="E10" s="78"/>
      <c r="F10" s="66" t="s">
        <v>131</v>
      </c>
      <c r="G10" s="66" t="s">
        <v>131</v>
      </c>
      <c r="H10" s="70"/>
      <c r="M10" s="99" t="s">
        <v>14</v>
      </c>
      <c r="N10" s="99" t="s">
        <v>26</v>
      </c>
      <c r="O10" s="99" t="s">
        <v>33</v>
      </c>
    </row>
    <row r="11" spans="1:17" x14ac:dyDescent="0.25">
      <c r="A11" s="79" t="s">
        <v>157</v>
      </c>
      <c r="B11" s="71">
        <f>IF('Résultat du test'!B8='Résultat du test'!J3,"2",IF('Résultat du test'!B8='Résultat du test'!J4,"3",IF('Résultat du test'!B8='Résultat du test'!J5,"2",IF('Résultat du test'!B8='Résultat du test'!J6,"3",IF('Résultat du test'!B8='Résultat du test'!J7,6,IF('Résultat du test'!B8='Résultat du test'!J8,8,IF('Résultat du test'!B8='Résultat du test'!J9,12,IF('Résultat du test'!B8='Résultat du test'!J10,16,IF('Résultat du test'!B8='Résultat du test'!J11,20,IF('Résultat du test'!B8='Résultat du test'!J12,23,IF('Résultat du test'!B8='Résultat du test'!J13,25,0)))))))))))</f>
        <v>0</v>
      </c>
      <c r="C11" s="68">
        <f>IF('Résultat du test'!B8='Résultat du test'!J3,"3",IF('Résultat du test'!B8='Résultat du test'!J4,"2",IF('Résultat du test'!B8='Résultat du test'!J5,"3",IF('Résultat du test'!B8='Résultat du test'!J6,"5",IF('Résultat du test'!B8='Résultat du test'!J7,8,IF('Résultat du test'!B8='Résultat du test'!J8,11,IF('Résultat du test'!B8='Résultat du test'!J9,16,IF('Résultat du test'!B8='Résultat du test'!J10,18,IF('Résultat du test'!B8='Résultat du test'!J11,25,IF('Résultat du test'!B8='Résultat du test'!J12,27,IF('Résultat du test'!B8='Résultat du test'!J13,28,0)))))))))))</f>
        <v>0</v>
      </c>
      <c r="D11" s="68">
        <f>IF('Résultat du test'!B8='Résultat du test'!J3,"Max de répétitions",IF('Résultat du test'!B8='Résultat du test'!J4,"Max de répétitions",IF('Résultat du test'!B8='Résultat du test'!J5,"Max de répétitions et minimum 3",IF('Résultat du test'!B8='Résultat du test'!J6,"Max de répétitions et minimum 4",IF('Résultat du test'!B8='Résultat du test'!J7,"Max de répétitions et minimum 7",IF('Résultat du test'!B8='Résultat du test'!J8,"Max de répétitions et minimum 9",IF('Résultat du test'!B8='Résultat du test'!J9,"Max de répétitions et minimum 13",IF('Résultat du test'!B8='Résultat du test'!J10,"Max de répétitions et minimum 16",IF('Résultat du test'!B8='Résultat du test'!J11,"Max de répétitions et minimum 20",IF('Résultat du test'!B8='Résultat du test'!J12,"Max de répétitions et minimum 21",IF('Résultat du test'!B8='Résultat du test'!J13,"Max de répétitions et minimum 25",0)))))))))))</f>
        <v>0</v>
      </c>
      <c r="E11" s="78"/>
      <c r="F11" s="66" t="s">
        <v>131</v>
      </c>
      <c r="G11" s="66" t="s">
        <v>131</v>
      </c>
      <c r="H11" s="70"/>
      <c r="M11" s="99" t="s">
        <v>15</v>
      </c>
      <c r="N11" s="99" t="s">
        <v>27</v>
      </c>
      <c r="O11" s="99" t="s">
        <v>34</v>
      </c>
    </row>
    <row r="12" spans="1:17" x14ac:dyDescent="0.25">
      <c r="A12" s="79" t="s">
        <v>327</v>
      </c>
      <c r="B12" s="68">
        <f>IF('Résultat du test'!E4='Résultat du test'!J3,"2",IF('Résultat du test'!E4='Résultat du test'!J4,"3",IF('Résultat du test'!E4='Résultat du test'!J5,"2",IF('Résultat du test'!E4='Résultat du test'!J6,"3",IF('Résultat du test'!E4='Résultat du test'!J7,6,IF('Résultat du test'!E4='Résultat du test'!J8,8,IF('Résultat du test'!E4='Résultat du test'!J9,12,IF('Résultat du test'!E4='Résultat du test'!J10,16,IF('Résultat du test'!E4='Résultat du test'!J11,20,IF('Résultat du test'!E4='Résultat du test'!J12,23,IF('Résultat du test'!E4='Résultat du test'!J13,25,0)))))))))))</f>
        <v>0</v>
      </c>
      <c r="C12" s="68">
        <f>IF('Résultat du test'!E4='Résultat du test'!J3,"3",IF('Résultat du test'!E4='Résultat du test'!J4,"2",IF('Résultat du test'!E4='Résultat du test'!J5,"3",IF('Résultat du test'!E4='Résultat du test'!J6,"5",IF('Résultat du test'!E4='Résultat du test'!J7,8,IF('Résultat du test'!E4='Résultat du test'!J8,11,IF('Résultat du test'!E4='Résultat du test'!J9,16,IF('Résultat du test'!E4='Résultat du test'!J10,18,IF('Résultat du test'!E4='Résultat du test'!J11,25,IF('Résultat du test'!E4='Résultat du test'!J12,27,IF('Résultat du test'!E4='Résultat du test'!J13,28,0)))))))))))</f>
        <v>0</v>
      </c>
      <c r="D12" s="68">
        <f>IF('Résultat du test'!E4='Résultat du test'!J3,"Max de répétitions",IF('Résultat du test'!E4='Résultat du test'!J4,"Max de répétitions",IF('Résultat du test'!E4='Résultat du test'!J5,"Max de répétitions et minimum 3",IF('Résultat du test'!E4='Résultat du test'!J6,"Max de répétitions et minimum 4",IF('Résultat du test'!E4='Résultat du test'!J7,"Max de répétitions et minimum 7",IF('Résultat du test'!E4='Résultat du test'!J8,"Max de répétitions et minimum 9",IF('Résultat du test'!E4='Résultat du test'!J9,"Max de répétitions et minimum 13",IF('Résultat du test'!E4='Résultat du test'!J10,"Max de répétitions et minimum 16",IF('Résultat du test'!E4='Résultat du test'!J11,"Max de répétitions et minimum 20",IF('Résultat du test'!E4='Résultat du test'!J12,"Max de répétitions et minimum 21",IF('Résultat du test'!E4='Résultat du test'!J13,"Max de répétitions et minimum 25",0)))))))))))</f>
        <v>0</v>
      </c>
      <c r="E12" s="78"/>
      <c r="F12" s="66" t="s">
        <v>131</v>
      </c>
      <c r="G12" s="78"/>
      <c r="H12" s="147"/>
      <c r="M12" s="99" t="s">
        <v>16</v>
      </c>
      <c r="N12" s="99" t="s">
        <v>13</v>
      </c>
      <c r="O12" s="99" t="s">
        <v>35</v>
      </c>
    </row>
    <row r="13" spans="1:17" ht="15.75" thickBot="1" x14ac:dyDescent="0.3">
      <c r="A13" s="214" t="s">
        <v>132</v>
      </c>
      <c r="B13" s="215"/>
      <c r="C13" s="215"/>
      <c r="D13" s="215"/>
      <c r="E13" s="215"/>
      <c r="F13" s="215"/>
      <c r="G13" s="215"/>
      <c r="H13" s="215"/>
      <c r="M13" s="99" t="s">
        <v>17</v>
      </c>
      <c r="N13" s="99" t="s">
        <v>14</v>
      </c>
      <c r="O13" s="99" t="s">
        <v>36</v>
      </c>
    </row>
    <row r="14" spans="1:17" x14ac:dyDescent="0.25">
      <c r="A14" s="72" t="s">
        <v>133</v>
      </c>
      <c r="B14" s="208" t="s">
        <v>324</v>
      </c>
      <c r="C14" s="209"/>
      <c r="D14" s="209"/>
      <c r="E14" s="209"/>
      <c r="F14" s="1"/>
      <c r="G14" s="1"/>
      <c r="H14" s="147" t="s">
        <v>325</v>
      </c>
      <c r="M14" s="99" t="s">
        <v>18</v>
      </c>
      <c r="N14" s="99" t="s">
        <v>15</v>
      </c>
      <c r="O14" s="99" t="s">
        <v>37</v>
      </c>
    </row>
    <row r="15" spans="1:17" x14ac:dyDescent="0.25">
      <c r="A15" s="73" t="s">
        <v>2</v>
      </c>
      <c r="B15" s="74" t="s">
        <v>3</v>
      </c>
      <c r="C15" s="74" t="s">
        <v>4</v>
      </c>
      <c r="D15" s="74" t="s">
        <v>5</v>
      </c>
      <c r="E15" s="74" t="s">
        <v>6</v>
      </c>
      <c r="F15" s="74" t="s">
        <v>124</v>
      </c>
      <c r="G15" s="74" t="s">
        <v>125</v>
      </c>
      <c r="H15" s="74" t="s">
        <v>123</v>
      </c>
      <c r="M15" s="99" t="s">
        <v>19</v>
      </c>
      <c r="N15" s="99" t="s">
        <v>16</v>
      </c>
      <c r="O15" s="99" t="s">
        <v>38</v>
      </c>
    </row>
    <row r="16" spans="1:17" x14ac:dyDescent="0.25">
      <c r="A16" s="79" t="s">
        <v>178</v>
      </c>
      <c r="B16" s="71">
        <f>IF('Résultat du test'!B5='Niveau 1'!N6,"3",IF('Résultat du test'!B5='Niveau 1'!N7,"5",IF('Résultat du test'!B5=N8,"2",IF('Résultat du test'!B5=N9,"4",IF('Résultat du test'!B5=N10,6,IF('Résultat du test'!B5=N11,9,IF('Résultat du test'!B5=N12,13,IF('Résultat du test'!B5=N13,16,IF('Résultat du test'!B5=N14,22,IF('Résultat du test'!B5=N15,24,IF('Résultat du test'!B5=N16,25,0)))))))))))</f>
        <v>0</v>
      </c>
      <c r="C16" s="65">
        <f>IF('Résultat du test'!B5='Niveau 1'!N6,"8",IF('Résultat du test'!B5='Niveau 1'!N7,"9",IF('Résultat du test'!B5=N8,"3",IF('Résultat du test'!B5=N9,"6",IF('Résultat du test'!B5=N10,9,IF('Résultat du test'!B5=N11,12,IF('Résultat du test'!B5=N12,16,IF('Résultat du test'!B5=N13,20,IF('Résultat du test'!B5=N14,25,IF('Résultat du test'!B5=N15,28,IF('Résultat du test'!B5=N16,29,0)))))))))))</f>
        <v>0</v>
      </c>
      <c r="D16" s="65">
        <f>IF('Résultat du test'!B5='Niveau 1'!N6,"6",IF('Résultat du test'!B5='Niveau 1'!N7,"7",IF('Résultat du test'!B5=N8,"2",IF('Résultat du test'!B5=N9,"4",IF('Résultat du test'!B5=N10,6,IF('Résultat du test'!B5=N11,9,IF('Résultat du test'!B5=N12,12,IF('Résultat du test'!B5=N13,16,IF('Résultat du test'!B5=N14,21,IF('Résultat du test'!B5=N15,24,IF('Résultat du test'!B5=N16,25,0)))))))))))</f>
        <v>0</v>
      </c>
      <c r="E16" s="71">
        <f>IF('Résultat du test'!B5='Niveau 1'!N6,"6",IF('Résultat du test'!B5='Niveau 1'!N7,"7",IF('Résultat du test'!B5=N8,"Max de répétitions et minimum 4",IF('Résultat du test'!B5=N9,"Max de répétitions et minimum 6",IF('Résultat du test'!B5=N10,"Max de répétitions et minimum 9",IF('Résultat du test'!B5=N11,"Max de répétitions et minimum 11",IF('Résultat du test'!B5=N12,"Max de répétitions et minimum 16",IF('Résultat du test'!B5=N13,"Max de répétitions et minimum 19",IF('Résultat du test'!B5=N14,"Max de répétitions et minimum 25",IF('Résultat du test'!B5=N15,"Max de répétitions et minimum 28",IF('Résultat du test'!B5=N16,"Max de répétitions et minimum 28",0)))))))))))</f>
        <v>0</v>
      </c>
      <c r="F16" s="66" t="s">
        <v>126</v>
      </c>
      <c r="G16" s="66" t="s">
        <v>127</v>
      </c>
      <c r="H16" s="75" t="str">
        <f>IF(OR('Résultat du test'!B5='Niveau 1'!N6,'Résultat du test'!B5='Niveau 1'!N7),"Toutes les répétitions en excentrique : voir vidéo","")</f>
        <v/>
      </c>
      <c r="M16" s="99" t="s">
        <v>20</v>
      </c>
      <c r="N16" s="99" t="s">
        <v>28</v>
      </c>
      <c r="O16" s="99" t="s">
        <v>39</v>
      </c>
    </row>
    <row r="17" spans="1:15" x14ac:dyDescent="0.25">
      <c r="A17" s="79" t="s">
        <v>7</v>
      </c>
      <c r="B17" s="65">
        <f>IF('Résultat du test'!B4='Niveau 1'!M6,"3",IF('Résultat du test'!B4='Niveau 1'!M7,"6",IF('Résultat du test'!B4=M8,"9",IF('Résultat du test'!B4=M9,"14",IF('Résultat du test'!B4=M10,20,IF('Résultat du test'!B4=M11,10,IF('Résultat du test'!B4=M12,10,IF('Résultat du test'!B4=M13,19,IF('Résultat du test'!B4=M14,19,IF('Résultat du test'!B4=M15,20,IF('Résultat du test'!B4=M16,22,IF('Résultat du test'!B4=M17,22,0))))))))))))</f>
        <v>0</v>
      </c>
      <c r="C17" s="68">
        <f>IF('Résultat du test'!B4='Niveau 1'!M6,"4",IF('Résultat du test'!B4='Niveau 1'!M7,"7",IF('Résultat du test'!B4=M8,"10",IF('Résultat du test'!B4=M9,"19",IF('Résultat du test'!B4=M10,25,IF('Résultat du test'!B4=M11,13,IF('Résultat du test'!B4=M12,15,IF('Résultat du test'!B4=M13,22,IF('Résultat du test'!B4=M14,23,IF('Résultat du test'!B4=M15,23,IF('Résultat du test'!B4=M16,27,IF('Résultat du test'!B4=M17,30,0))))))))))))</f>
        <v>0</v>
      </c>
      <c r="D17" s="68">
        <f>IF('Résultat du test'!B4='Niveau 1'!M6,"2",IF('Résultat du test'!B4='Niveau 1'!M7,"6",IF('Résultat du test'!B4=M8,"8",IF('Résultat du test'!B4=M9,"14",IF('Résultat du test'!B4=M10,15,IF('Résultat du test'!B4=M11,10,IF('Résultat du test'!B4=M12,18,IF('Résultat du test'!B4=M13,18,IF('Résultat du test'!B4=M14,19,IF('Résultat du test'!B4=M15,20,IF('Résultat du test'!B4=M16,22,IF('Résultat du test'!B4=M17,24,0))))))))))))</f>
        <v>0</v>
      </c>
      <c r="E17" s="71">
        <f>IF('Résultat du test'!B4='Niveau 1'!M6,"Max de répétitions et minimum 4",IF('Résultat du test'!B4='Niveau 1'!M7,"Max de répétitions et minimum 7",IF('Résultat du test'!B4=M8,"Max de répétitions et minimum 10",IF('Résultat du test'!B4=M9,"Max de répétitions et minimum 19",IF('Résultat du test'!B4=M10,"Max de répétitions et minimum 23",IF('Résultat du test'!B4=M11,"Max de répétitions et minimum 25",IF('Résultat du test'!B4=M12,"Max de répétitions et minimum 30",IF('Résultat du test'!B4=M13,"Max de répétitions et minimum 35",IF('Résultat du test'!B4=M14,"Max de répétitions et minimum 37",IF('Résultat du test'!B4=M15,"Max de répétitions et minimum 53",IF('Résultat du test'!B4=M16,"Max de répétitions et minimum 58",IF('Résultat du test'!B4=M17,"Max de répétitions et minimum 59",0))))))))))))</f>
        <v>0</v>
      </c>
      <c r="F17" s="66" t="s">
        <v>127</v>
      </c>
      <c r="G17" s="66" t="s">
        <v>128</v>
      </c>
      <c r="H17" s="67" t="str">
        <f>IF('Résultat du test'!B4='Niveau 1'!M6,"Faites des pompes à genoux ou debout contre un mur si vous ne pouvez pas faire de pompes traditionnelles.","")</f>
        <v/>
      </c>
      <c r="M17" s="99" t="s">
        <v>21</v>
      </c>
      <c r="N17" s="62"/>
      <c r="O17" s="99" t="s">
        <v>40</v>
      </c>
    </row>
    <row r="18" spans="1:15" x14ac:dyDescent="0.25">
      <c r="A18" s="79" t="s">
        <v>302</v>
      </c>
      <c r="B18" s="71">
        <f>IF('Résultat du test'!B6='Niveau 1'!O6,"6",IF('Résultat du test'!B6='Niveau 1'!O7,"10",IF('Résultat du test'!B6=O8,"16",IF('Résultat du test'!B6=O9,"22",IF('Résultat du test'!B6=O10,26,IF('Résultat du test'!B6=O11,32,IF('Résultat du test'!B6=O12,40,IF('Résultat du test'!B6=O13,44,IF('Résultat du test'!B6=O14,50,IF('Résultat du test'!B6=O15,54,IF('Résultat du test'!B6=O16,50,IF('Résultat du test'!B6=O17,50,IF('Résultat du test'!B6=O18,58,IF('Résultat du test'!B6=O19,64,0))))))))))))))</f>
        <v>0</v>
      </c>
      <c r="C18" s="68">
        <f>IF('Résultat du test'!B6='Niveau 1'!O6,"6",IF('Résultat du test'!B6='Niveau 1'!O7,"10",IF('Résultat du test'!B6=O8,"14",IF('Résultat du test'!B6=O9,"22",IF('Résultat du test'!B6=O10,26,IF('Résultat du test'!B6=O11,32,IF('Résultat du test'!B6=O12,38,IF('Résultat du test'!B6=O13,44,IF('Résultat du test'!B6=O14,50,IF('Résultat du test'!B6=O15,54,IF('Résultat du test'!B6=O16,50,IF('Résultat du test'!B6=O17,52,IF('Résultat du test'!B6=O18,54,IF('Résultat du test'!B6=O19,64,0))))))))))))))</f>
        <v>0</v>
      </c>
      <c r="D18" s="71">
        <f>IF('Résultat du test'!B6='Niveau 1'!O6,"6",IF('Résultat du test'!B6='Niveau 1'!O7,"10",IF('Résultat du test'!B6=O8,"15",IF('Résultat du test'!B6=O9,"23",IF('Résultat du test'!B6=O10,27,IF('Résultat du test'!B6=O11,32,IF('Résultat du test'!B6=O12,38,IF('Résultat du test'!B6=O13,46,IF('Résultat du test'!B6=O14,50,IF('Résultat du test'!B6=O15,54,IF('Résultat du test'!B6=O16,42,IF('Résultat du test'!B6=O17,54,IF('Résultat du test'!B6=O18,57,IF('Résultat du test'!B6=O19,62,0))))))))))))))</f>
        <v>0</v>
      </c>
      <c r="E18" s="71">
        <f>IF('Résultat du test'!B6='Niveau 1'!O6,"Max de répétitions et minimum 8",IF('Résultat du test'!B6='Niveau 1'!O7,"Max de répétitions et minimum 10",IF('Résultat du test'!B6=O8,"Max de répétitions et minimum 18",IF('Résultat du test'!B6=O9,"Max de répétitions et minimum 24",IF('Résultat du test'!B6=O10,"Max de répétitions et minimum 28",IF('Résultat du test'!B6=O11,"Max de répétitions et minimum 34",IF('Résultat du test'!B6=O12,"Max de répétitions et minimum 40",IF('Résultat du test'!B6=O13,"Max de répétitions et minimum 46",IF('Résultat du test'!B6=O14,"Max de répétitions et minimum 52",IF('Résultat du test'!B6=O15,"Max de répétitions et minimum 60",IF('Résultat du test'!B6=O16,"Max de répétitions et minimum 44",IF('Résultat du test'!B6=O17,"Max de répétitions et minimum 56",IF('Résultat du test'!B6=O18,"Max de répétitions et minimum 60",IF('Résultat du test'!B6=O19,"Max de répétitions et minimum 64",0))))))))))))))</f>
        <v>0</v>
      </c>
      <c r="F18" s="66" t="s">
        <v>130</v>
      </c>
      <c r="G18" s="66" t="s">
        <v>128</v>
      </c>
      <c r="H18" s="67" t="s">
        <v>138</v>
      </c>
      <c r="M18" s="62"/>
      <c r="N18" s="62"/>
      <c r="O18" s="99" t="s">
        <v>41</v>
      </c>
    </row>
    <row r="19" spans="1:15" x14ac:dyDescent="0.25">
      <c r="A19" s="79" t="s">
        <v>157</v>
      </c>
      <c r="B19" s="68">
        <f>IF('Résultat du test'!B8='Résultat du test'!J3,"3",IF('Résultat du test'!B8='Résultat du test'!J4,"3",IF('Résultat du test'!B8='Résultat du test'!J5,"2",IF('Résultat du test'!B8='Résultat du test'!J6,"4",IF('Résultat du test'!B8='Résultat du test'!J7,6,IF('Résultat du test'!B8='Résultat du test'!J8,9,IF('Résultat du test'!B8='Résultat du test'!J9,13,IF('Résultat du test'!B8='Résultat du test'!J10,16,IF('Résultat du test'!B8='Résultat du test'!J11,22,IF('Résultat du test'!B8='Résultat du test'!J12,24,IF('Résultat du test'!B8='Résultat du test'!J13,25,0)))))))))))</f>
        <v>0</v>
      </c>
      <c r="C19" s="68">
        <f>IF('Résultat du test'!B8='Résultat du test'!J3,"3",IF('Résultat du test'!B8='Résultat du test'!J4,"4",IF('Résultat du test'!B8='Résultat du test'!J5,"3",IF('Résultat du test'!B8='Résultat du test'!J6,"6",IF('Résultat du test'!B8='Résultat du test'!J7,9,IF('Résultat du test'!B8='Résultat du test'!J8,12,IF('Résultat du test'!B8='Résultat du test'!J9,16,IF('Résultat du test'!B8='Résultat du test'!J10,20,IF('Résultat du test'!B8='Résultat du test'!J11,25,IF('Résultat du test'!B8='Résultat du test'!J12,28,IF('Résultat du test'!B8='Résultat du test'!J13,29,0)))))))))))</f>
        <v>0</v>
      </c>
      <c r="D19" s="68">
        <f>IF('Résultat du test'!B8='Résultat du test'!J3,"Max de répétitions",IF('Résultat du test'!B8='Résultat du test'!J4,"Max de répétitions",IF('Résultat du test'!B8='Résultat du test'!J5,"Max de répétitions et minimum 4",IF('Résultat du test'!B8='Résultat du test'!J6,"Max de répétitions et minimum 6",IF('Résultat du test'!B8='Résultat du test'!J7,"Max de répétitions et minimum 9",IF('Résultat du test'!B8='Résultat du test'!J8,"Max de répétitions et minimum 11",IF('Résultat du test'!B8='Résultat du test'!J9,"Max de répétitions et minimum 16",IF('Résultat du test'!B8='Résultat du test'!J10,"Max de répétitions et minimum 19",IF('Résultat du test'!B8='Résultat du test'!J11,"Max de répétitions et minimum 25",IF('Résultat du test'!B8='Résultat du test'!J12,"Max de répétitions et minimum 28",IF('Résultat du test'!B8='Résultat du test'!J13,"Max de répétitions et minimum 28",0)))))))))))</f>
        <v>0</v>
      </c>
      <c r="E19" s="78"/>
      <c r="F19" s="66" t="s">
        <v>131</v>
      </c>
      <c r="G19" s="66" t="s">
        <v>131</v>
      </c>
      <c r="H19" s="70"/>
      <c r="M19" s="62"/>
      <c r="N19" s="62"/>
      <c r="O19" s="99" t="s">
        <v>42</v>
      </c>
    </row>
    <row r="20" spans="1:15" x14ac:dyDescent="0.25">
      <c r="A20" s="79" t="s">
        <v>168</v>
      </c>
      <c r="B20" s="68">
        <f>IF('Résultat du test'!B7='Résultat du test'!J3,"3",IF('Résultat du test'!B7='Résultat du test'!J4,"3",IF('Résultat du test'!B7='Résultat du test'!J5,"2",IF('Résultat du test'!B7='Résultat du test'!J6,"4",IF('Résultat du test'!B7='Résultat du test'!J7,6,IF('Résultat du test'!B7='Résultat du test'!J8,9,IF('Résultat du test'!B7='Résultat du test'!J9,13,IF('Résultat du test'!B7='Résultat du test'!J10,16,IF('Résultat du test'!B7='Résultat du test'!J11,22,IF('Résultat du test'!B7='Résultat du test'!J12,24,IF('Résultat du test'!B7='Résultat du test'!J13,25,0)))))))))))</f>
        <v>0</v>
      </c>
      <c r="C20" s="68">
        <f>IF('Résultat du test'!B7='Résultat du test'!J3,"3",IF('Résultat du test'!B7='Résultat du test'!J4,"4",IF('Résultat du test'!B7='Résultat du test'!J5,"3",IF('Résultat du test'!B7='Résultat du test'!J6,"6",IF('Résultat du test'!B7='Résultat du test'!J7,9,IF('Résultat du test'!B7='Résultat du test'!J8,12,IF('Résultat du test'!B7='Résultat du test'!J9,16,IF('Résultat du test'!B7='Résultat du test'!J10,20,IF('Résultat du test'!B7='Résultat du test'!J11,25,IF('Résultat du test'!B7='Résultat du test'!J12,28,IF('Résultat du test'!B7='Résultat du test'!J13,29,0)))))))))))</f>
        <v>0</v>
      </c>
      <c r="D20" s="68">
        <f>IF('Résultat du test'!B7='Résultat du test'!J3,"Max de répétitions",IF('Résultat du test'!B7='Résultat du test'!J4,"Max de répétitions",IF('Résultat du test'!B7='Résultat du test'!J5,"Max de répétitions et minimum 4",IF('Résultat du test'!B7='Résultat du test'!J6,"Max de répétitions et minimum 6",IF('Résultat du test'!B7='Résultat du test'!J7,"Max de répétitions et minimum 9",IF('Résultat du test'!B7='Résultat du test'!J8,"Max de répétitions et minimum 11",IF('Résultat du test'!B7='Résultat du test'!J9,"Max de répétitions et minimum 16",IF('Résultat du test'!B7='Résultat du test'!J10,"Max de répétitions et minimum 19",IF('Résultat du test'!B7='Résultat du test'!J11,"Max de répétitions et minimum 25",IF('Résultat du test'!B7='Résultat du test'!J12,"Max de répétitions et minimum 28",IF('Résultat du test'!B7='Résultat du test'!J13,"Max de répétitions et minimum 28",0)))))))))))</f>
        <v>0</v>
      </c>
      <c r="E20" s="78"/>
      <c r="F20" s="66" t="s">
        <v>131</v>
      </c>
      <c r="G20" s="66" t="s">
        <v>131</v>
      </c>
      <c r="H20" s="70"/>
    </row>
    <row r="21" spans="1:15" ht="17.25" x14ac:dyDescent="0.3">
      <c r="A21" s="79" t="s">
        <v>136</v>
      </c>
      <c r="B21" s="68">
        <f>IF('Résultat du test'!E5='Résultat du test'!J3,"2",IF('Résultat du test'!E5='Résultat du test'!J4,"3",IF('Résultat du test'!E5='Résultat du test'!J5,"2",IF('Résultat du test'!E5='Résultat du test'!J6,"3",IF('Résultat du test'!E5='Résultat du test'!J7,6,IF('Résultat du test'!E5='Résultat du test'!J8,8,IF('Résultat du test'!E5='Résultat du test'!J9,12,IF('Résultat du test'!E5='Résultat du test'!J10,16,IF('Résultat du test'!E5='Résultat du test'!J11,20,IF('Résultat du test'!E5='Résultat du test'!J12,23,IF('Résultat du test'!E5='Résultat du test'!J13,25,0)))))))))))</f>
        <v>0</v>
      </c>
      <c r="C21" s="71">
        <f>IF('Résultat du test'!E5='Résultat du test'!J3,"3",IF('Résultat du test'!E5='Résultat du test'!J4,"2",IF('Résultat du test'!E5='Résultat du test'!J5,"3",IF('Résultat du test'!E5='Résultat du test'!J6,"5",IF('Résultat du test'!E5='Résultat du test'!J7,8,IF('Résultat du test'!E5='Résultat du test'!J8,11,IF('Résultat du test'!E5='Résultat du test'!J9,16,IF('Résultat du test'!E5='Résultat du test'!J10,18,IF('Résultat du test'!E5='Résultat du test'!J11,25,IF('Résultat du test'!E5='Résultat du test'!J12,27,IF('Résultat du test'!E5='Résultat du test'!J13,28,0)))))))))))</f>
        <v>0</v>
      </c>
      <c r="D21" s="68">
        <f>IF('Résultat du test'!E5='Résultat du test'!J3,"Max de répétitions",IF('Résultat du test'!E5='Résultat du test'!J4,"Max de répétitions",IF('Résultat du test'!E5='Résultat du test'!J5,"Max de répétitions et minimum 3",IF('Résultat du test'!E5='Résultat du test'!J6,"Max de répétitions et minimum 4",IF('Résultat du test'!E5='Résultat du test'!J7,"Max de répétitions et minimum 7",IF('Résultat du test'!E5='Résultat du test'!J8,"Max de répétitions et minimum 9",IF('Résultat du test'!E5='Résultat du test'!J9,"Max de répétitions et minimum 13",IF('Résultat du test'!E5='Résultat du test'!J10,"Max de répétitions et minimum 16",IF('Résultat du test'!E5='Résultat du test'!J11,"Max de répétitions et minimum 20",IF('Résultat du test'!E5='Résultat du test'!J12,"Max de répétitions et minimum 21",IF('Résultat du test'!E5='Résultat du test'!J13,"Max de répétitions et minimum 25",0)))))))))))</f>
        <v>0</v>
      </c>
      <c r="E21" s="78"/>
      <c r="F21" s="66" t="s">
        <v>131</v>
      </c>
      <c r="G21" s="78"/>
      <c r="H21" s="70"/>
      <c r="L21" s="107"/>
    </row>
    <row r="22" spans="1:15" ht="15.75" thickBot="1" x14ac:dyDescent="0.3">
      <c r="A22" s="214" t="s">
        <v>134</v>
      </c>
      <c r="B22" s="215"/>
      <c r="C22" s="215"/>
      <c r="D22" s="215"/>
      <c r="E22" s="215"/>
      <c r="F22" s="215"/>
      <c r="G22" s="215"/>
      <c r="H22" s="215"/>
    </row>
    <row r="23" spans="1:15" x14ac:dyDescent="0.25">
      <c r="A23" s="72" t="s">
        <v>135</v>
      </c>
      <c r="B23" s="208" t="s">
        <v>324</v>
      </c>
      <c r="C23" s="209"/>
      <c r="D23" s="209"/>
      <c r="E23" s="209"/>
      <c r="F23" s="1"/>
      <c r="G23" s="1"/>
      <c r="H23" s="147" t="s">
        <v>325</v>
      </c>
    </row>
    <row r="24" spans="1:15" x14ac:dyDescent="0.25">
      <c r="A24" s="73" t="s">
        <v>2</v>
      </c>
      <c r="B24" s="74" t="s">
        <v>3</v>
      </c>
      <c r="C24" s="74" t="s">
        <v>4</v>
      </c>
      <c r="D24" s="74" t="s">
        <v>5</v>
      </c>
      <c r="E24" s="74" t="s">
        <v>6</v>
      </c>
      <c r="F24" s="74" t="s">
        <v>124</v>
      </c>
      <c r="G24" s="74" t="s">
        <v>125</v>
      </c>
      <c r="H24" s="74" t="s">
        <v>123</v>
      </c>
    </row>
    <row r="25" spans="1:15" x14ac:dyDescent="0.25">
      <c r="A25" s="79" t="s">
        <v>7</v>
      </c>
      <c r="B25" s="71">
        <f>IF('Résultat du test'!B4='Niveau 1'!M6,"4",IF('Résultat du test'!B4='Niveau 1'!M7,"8",IF('Résultat du test'!B4=M8,"11",IF('Résultat du test'!B4=M9,"16",IF('Résultat du test'!B4=M10,20,IF('Résultat du test'!B4=M11,13,IF('Résultat du test'!B4=M12,18,IF('Résultat du test'!B4=M13,20,IF('Résultat du test'!B4=M14,20,IF('Résultat du test'!B4=M15,22,IF('Résultat du test'!B4=M16,26,IF('Résultat du test'!B4=M17,28,0))))))))))))</f>
        <v>0</v>
      </c>
      <c r="C25" s="71">
        <f>IF('Résultat du test'!B4='Niveau 1'!M6,"5",IF('Résultat du test'!B4='Niveau 1'!M7,"10",IF('Résultat du test'!B4=M8,"13",IF('Résultat du test'!B4=M9,"21",IF('Résultat du test'!B4=M10,27,IF('Résultat du test'!B4=M11,13,IF('Résultat du test'!B4=M12,20,IF('Résultat du test'!B4=M13,24,IF('Résultat du test'!B4=M14,27,IF('Résultat du test'!B4=M15,30,IF('Résultat du test'!B4=M16,33,IF('Résultat du test'!B4=M17,35,0))))))))))))</f>
        <v>0</v>
      </c>
      <c r="D25" s="65">
        <f>IF('Résultat du test'!B4='Niveau 1'!M6,"4",IF('Résultat du test'!B4='Niveau 1'!M7,"7",IF('Résultat du test'!B4=M8,"9",IF('Résultat du test'!B4=M9,"15",IF('Résultat du test'!B4=M10,18,IF('Résultat du test'!B4=M11,15,IF('Résultat du test'!B4=M12,17,IF('Résultat du test'!B4=M13,20,IF('Résultat du test'!B4=M14,21,IF('Résultat du test'!B4=M15,22,IF('Résultat du test'!B4=M16,23,IF('Résultat du test'!B4=M17,25,0))))))))))))</f>
        <v>0</v>
      </c>
      <c r="E25" s="65">
        <f>IF('Résultat du test'!B4='Niveau 1'!M6,"Max de répétitions et minimum 5",IF('Résultat du test'!B4='Niveau 1'!M7,"Max de répétitions et minimum 10",IF('Résultat du test'!B4=M8,"Max de répétitions et minimum 13",IF('Résultat du test'!B4=M9,"Max de répétitions et minimum 21",IF('Résultat du test'!B4=M10,"Max de répétitions et minimum 25",IF('Résultat du test'!B4=M11,"Max de répétitions et minimum 30",IF('Résultat du test'!B4=M12,"Max de répétitions et minimum 35",IF('Résultat du test'!B4=M13,"Max de répétitions et minimum 40",IF('Résultat du test'!B4=M14,"Max de répétitions et minimum 44",IF('Résultat du test'!B4=M15,"Max de répétitions et minimum 55",IF('Résultat du test'!B4=M16,"Max de répétitions et minimum 60",IF('Résultat du test'!B4=M17,"Max de répétitions et minimum 60",0))))))))))))</f>
        <v>0</v>
      </c>
      <c r="F25" s="66" t="s">
        <v>126</v>
      </c>
      <c r="G25" s="66" t="s">
        <v>128</v>
      </c>
      <c r="H25" s="67" t="str">
        <f>IF('Résultat du test'!B4='Niveau 1'!M6,"Faites des pompes à genoux ou debout contre un mur si vous ne pouvez pas faire de pompes traditionnelles.","")</f>
        <v/>
      </c>
    </row>
    <row r="26" spans="1:15" x14ac:dyDescent="0.25">
      <c r="A26" s="79" t="s">
        <v>178</v>
      </c>
      <c r="B26" s="68">
        <f>IF('Résultat du test'!B5='Niveau 1'!N6,"4",IF('Résultat du test'!B5='Niveau 1'!N7,"6",IF('Résultat du test'!B5=N8,"3",IF('Résultat du test'!B5=N9,"5",IF('Résultat du test'!B5=N10,7,IF('Résultat du test'!B5=N11,9,IF('Résultat du test'!B5=N12,13,IF('Résultat du test'!B5=N13,17,IF('Résultat du test'!B5=N14,23,IF('Résultat du test'!B5=N15,25,IF('Résultat du test'!B5=N16,25,0)))))))))))</f>
        <v>0</v>
      </c>
      <c r="C26" s="68">
        <f>IF('Résultat du test'!B5='Niveau 1'!N6,"9",IF('Résultat du test'!B5='Niveau 1'!N7,"10",IF('Résultat du test'!B5=N8,"4",IF('Résultat du test'!B5=N9,"7",IF('Résultat du test'!B5=N10,10,IF('Résultat du test'!B5=N11,13,IF('Résultat du test'!B5=N12,16,IF('Résultat du test'!B5=N13,21,IF('Résultat du test'!B5=N14,26,IF('Résultat du test'!B5=N15,29,IF('Résultat du test'!B5=N16,30,0)))))))))))</f>
        <v>0</v>
      </c>
      <c r="D26" s="71">
        <f>IF('Résultat du test'!B5='Niveau 1'!N6,"6",IF('Résultat du test'!B5='Niveau 1'!N7,"8",IF('Résultat du test'!B5=N8,"2",IF('Résultat du test'!B5=N9,"5",IF('Résultat du test'!B5=N10,6,IF('Résultat du test'!B5=N11,9,IF('Résultat du test'!B5=N12,12,IF('Résultat du test'!B5=N13,16,IF('Résultat du test'!B5=N14,23,IF('Résultat du test'!B5=N15,24,IF('Résultat du test'!B5=N16,25,0)))))))))))</f>
        <v>0</v>
      </c>
      <c r="E26" s="68">
        <f>IF('Résultat du test'!B5='Niveau 1'!N6,"6",IF('Résultat du test'!B5='Niveau 1'!N7,"8",IF('Résultat du test'!B5=N8,"Max de répétitions et minimum 4",IF('Résultat du test'!B5=N9,"Max de répétitions et minimum 6",IF('Résultat du test'!B5=N10,"Max de répétitions et minimum 9",IF('Résultat du test'!B5=N11,"Max de répétitions et minimum 12",IF('Résultat du test'!B5=N12,"Max de répétitions et minimum 16",IF('Résultat du test'!B5=N13,"Max de répétitions et minimum 20",IF('Résultat du test'!B5=N14,"Max de répétitions et minimum 25",IF('Résultat du test'!B5=N15,"Max de répétitions et minimum 29",IF('Résultat du test'!B5=N16,"Max de répétitions et minimum 29",0)))))))))))</f>
        <v>0</v>
      </c>
      <c r="F26" s="66" t="s">
        <v>126</v>
      </c>
      <c r="G26" s="66" t="s">
        <v>127</v>
      </c>
      <c r="H26" s="69" t="str">
        <f>IF(OR('Résultat du test'!B5='Niveau 1'!N6,'Résultat du test'!B5='Niveau 1'!N7),"Toutes les répétitions en excentrique : voir vidéo","")</f>
        <v/>
      </c>
    </row>
    <row r="27" spans="1:15" x14ac:dyDescent="0.25">
      <c r="A27" s="79" t="s">
        <v>302</v>
      </c>
      <c r="B27" s="68">
        <f>IF('Résultat du test'!B6='Niveau 1'!O6,"8",IF('Résultat du test'!B6='Niveau 1'!O7,"12",IF('Résultat du test'!B6=O8,"18",IF('Résultat du test'!B6=O9,"22",IF('Résultat du test'!B6=O10,28,IF('Résultat du test'!B6=O11,34,IF('Résultat du test'!B6=O12,40,IF('Résultat du test'!B6=O13,46,IF('Résultat du test'!B6=O14,52,IF('Résultat du test'!B6=O15,58,IF('Résultat du test'!B6=O16,50,IF('Résultat du test'!B6=O17,54,IF('Résultat du test'!B6=O18,60,IF('Résultat du test'!B6=O19,64,0))))))))))))))</f>
        <v>0</v>
      </c>
      <c r="C27" s="71">
        <f>IF('Résultat du test'!B6='Niveau 1'!O6,"6",IF('Résultat du test'!B6='Niveau 1'!O7,"10",IF('Résultat du test'!B6=O8,"18",IF('Résultat du test'!B6=O9,"24",IF('Résultat du test'!B6=O10,26,IF('Résultat du test'!B6=O11,32,IF('Résultat du test'!B6=O12,38,IF('Résultat du test'!B6=O13,46,IF('Résultat du test'!B6=O14,52,IF('Résultat du test'!B6=O15,54,IF('Résultat du test'!B6=O16,50,IF('Résultat du test'!B6=O17,52,IF('Résultat du test'!B6=O18,60,IF('Résultat du test'!B6=O19,64,0))))))))))))))</f>
        <v>0</v>
      </c>
      <c r="D27" s="68">
        <f>IF('Résultat du test'!B6='Niveau 1'!O6,"7",IF('Résultat du test'!B6='Niveau 1'!O7,"11",IF('Résultat du test'!B6=O8,"16",IF('Résultat du test'!B6=O9,"22",IF('Résultat du test'!B6=O10,26,IF('Résultat du test'!B6=O11,33,IF('Résultat du test'!B6=O12,39,IF('Résultat du test'!B6=O13,45,IF('Résultat du test'!B6=O14,50,IF('Résultat du test'!B6=O15,54,IF('Résultat du test'!B6=O16,42,IF('Résultat du test'!B6=O17,53,IF('Résultat du test'!B6=O18,55,IF('Résultat du test'!B6=O19,64,0))))))))))))))</f>
        <v>0</v>
      </c>
      <c r="E27" s="71">
        <f>IF('Résultat du test'!B6='Niveau 1'!O6,"Max de répétitions et minimum 8",IF('Résultat du test'!B6='Niveau 1'!O7,"Max de répétitions et minimum 12",IF('Résultat du test'!B6=O8,"Max de répétitions et minimum 18",IF('Résultat du test'!B6=O9,"Max de répétitions et minimum 24",IF('Résultat du test'!B6=O10,"Max de répétitions et minimum 30",IF('Résultat du test'!B6=O11,"Max de répétitions et minimum 36",IF('Résultat du test'!B6=O12,"Max de répétitions et minimum 42",IF('Résultat du test'!B6=O13,"Max de répétitions et minimum 46",IF('Résultat du test'!B6=O14,"Max de répétitions et minimum 52",IF('Résultat du test'!B6=O15,"Max de répétitions et minimum 60",IF('Résultat du test'!B6=O16,"Max de répétitions et minimum 50",IF('Résultat du test'!B6=O17,"Max de répétitions et minimum 56",IF('Résultat du test'!B6=O18,"Max de répétitions et minimum 62",IF('Résultat du test'!B6=O19,"Max de répétitions et minimum 64",0))))))))))))))</f>
        <v>0</v>
      </c>
      <c r="F27" s="66" t="s">
        <v>130</v>
      </c>
      <c r="G27" s="66" t="s">
        <v>128</v>
      </c>
      <c r="H27" s="67" t="s">
        <v>138</v>
      </c>
    </row>
    <row r="28" spans="1:15" x14ac:dyDescent="0.25">
      <c r="A28" s="79" t="s">
        <v>168</v>
      </c>
      <c r="B28" s="68">
        <f>IF('Résultat du test'!B7='Niveau 1'!N6,"4",IF('Résultat du test'!B7='Niveau 1'!N7,"5",IF('Résultat du test'!B7=N8,"3",IF('Résultat du test'!B7=N9,"5",IF('Résultat du test'!B7=N10,7,IF('Résultat du test'!B7=N11,9,IF('Résultat du test'!B7=N12,13,IF('Résultat du test'!B7=N13,17,IF('Résultat du test'!B7=N14,23,IF('Résultat du test'!B7=N15,25,IF('Résultat du test'!B7=N16,25,0)))))))))))</f>
        <v>0</v>
      </c>
      <c r="C28" s="68">
        <f>IF('Résultat du test'!B7='Niveau 1'!N6,"3",IF('Résultat du test'!B7='Niveau 1'!N7,"4",IF('Résultat du test'!B7=N8,"4",IF('Résultat du test'!B7=N9,"7",IF('Résultat du test'!B7=N10,10,IF('Résultat du test'!B7=N11,13,IF('Résultat du test'!B7=N12,16,IF('Résultat du test'!B7=N13,21,IF('Résultat du test'!B7=N14,26,IF('Résultat du test'!B7=N15,29,IF('Résultat du test'!B7=N16,30,0)))))))))))</f>
        <v>0</v>
      </c>
      <c r="D28" s="68">
        <f>IF('Résultat du test'!B7='Niveau 1'!N6,"Max de répétitions",IF('Résultat du test'!B7='Niveau 1'!N7,"Max de répétitions",IF('Résultat du test'!B7=N8,"Max de répétitions et minimum 4",IF('Résultat du test'!B7=N9,"Max de répétitions et minimum 6",IF('Résultat du test'!B7=N10,"Max de répétitions et minimum 9",IF('Résultat du test'!B7=N11,"Max de répétitions et minimum 12",IF('Résultat du test'!B7=N12,"Max de répétitions et minimum 16",IF('Résultat du test'!B7=N13,"Max de répétitions et minimum 20",IF('Résultat du test'!B7=N14,"Max de répétitions et minimum 25",IF('Résultat du test'!B7=N15,"Max de répétitions et minimum 29",IF('Résultat du test'!B7=N16,"Max de répétitions et minimum 29",0)))))))))))</f>
        <v>0</v>
      </c>
      <c r="E28" s="78"/>
      <c r="F28" s="66" t="s">
        <v>131</v>
      </c>
      <c r="G28" s="66" t="s">
        <v>131</v>
      </c>
      <c r="H28" s="70"/>
    </row>
    <row r="29" spans="1:15" x14ac:dyDescent="0.25">
      <c r="A29" s="79" t="s">
        <v>157</v>
      </c>
      <c r="B29" s="68">
        <f>IF('Résultat du test'!B8='Niveau 1'!N6,"4",IF('Résultat du test'!B8='Niveau 1'!N7,"5",IF('Résultat du test'!B8=N8,"3",IF('Résultat du test'!B8=N9,"5",IF('Résultat du test'!B8=N10,7,IF('Résultat du test'!B8=N11,9,IF('Résultat du test'!B8=N12,13,IF('Résultat du test'!B8=N13,17,IF('Résultat du test'!B8=N14,23,IF('Résultat du test'!B8=N15,25,IF('Résultat du test'!B8=N16,25,0)))))))))))</f>
        <v>0</v>
      </c>
      <c r="C29" s="68">
        <f>IF('Résultat du test'!B8='Niveau 1'!N6,"3",IF('Résultat du test'!B8='Niveau 1'!N7,"4",IF('Résultat du test'!B8=N8,"4",IF('Résultat du test'!B8=N9,"7",IF('Résultat du test'!B8=N10,10,IF('Résultat du test'!B8=N11,13,IF('Résultat du test'!B8=N12,16,IF('Résultat du test'!B8=N13,21,IF('Résultat du test'!B8=N14,26,IF('Résultat du test'!B8=N15,29,IF('Résultat du test'!B8=N16,30,0)))))))))))</f>
        <v>0</v>
      </c>
      <c r="D29" s="68">
        <f>IF('Résultat du test'!B8='Niveau 1'!N6,"Max de répétitions",IF('Résultat du test'!B8='Niveau 1'!N7,"Max de répétitions",IF('Résultat du test'!B8=N8,"Max de répétitions et minimum 4",IF('Résultat du test'!B8=N9,"Max de répétitions et minimum 6",IF('Résultat du test'!B8=N10,"Max de répétitions et minimum 9",IF('Résultat du test'!B8=N11,"Max de répétitions et minimum 12",IF('Résultat du test'!B8=N12,"Max de répétitions et minimum 16",IF('Résultat du test'!B8=N13,"Max de répétitions et minimum 20",IF('Résultat du test'!B8=N14,"Max de répétitions et minimum 25",IF('Résultat du test'!B8=N15,"Max de répétitions et minimum 29",IF('Résultat du test'!B8=N16,"Max de répétitions et minimum 29",0)))))))))))</f>
        <v>0</v>
      </c>
      <c r="E29" s="78"/>
      <c r="F29" s="66" t="s">
        <v>131</v>
      </c>
      <c r="G29" s="66" t="s">
        <v>131</v>
      </c>
      <c r="H29" s="70"/>
    </row>
    <row r="30" spans="1:15" x14ac:dyDescent="0.25">
      <c r="A30" s="79" t="s">
        <v>327</v>
      </c>
      <c r="B30" s="68">
        <f>IF('Résultat du test'!E4='Résultat du test'!J3,"3",IF('Résultat du test'!E4='Résultat du test'!J4,"3",IF('Résultat du test'!E4='Résultat du test'!J5,"2",IF('Résultat du test'!E4='Résultat du test'!J6,"4",IF('Résultat du test'!E4='Résultat du test'!J7,6,IF('Résultat du test'!E4='Résultat du test'!J8,9,IF('Résultat du test'!E4='Résultat du test'!J9,13,IF('Résultat du test'!E4='Résultat du test'!J10,16,IF('Résultat du test'!E4='Résultat du test'!J11,22,IF('Résultat du test'!E4='Résultat du test'!J12,24,IF('Résultat du test'!E4='Résultat du test'!J13,25,0)))))))))))</f>
        <v>0</v>
      </c>
      <c r="C30" s="71">
        <f>IF('Résultat du test'!E4='Résultat du test'!J3,"3",IF('Résultat du test'!E4='Résultat du test'!J4,"2",IF('Résultat du test'!E4='Résultat du test'!J5,"3",IF('Résultat du test'!E4='Résultat du test'!J6,"5",IF('Résultat du test'!E4='Résultat du test'!J7,8,IF('Résultat du test'!E4='Résultat du test'!J8,11,IF('Résultat du test'!E4='Résultat du test'!J9,16,IF('Résultat du test'!E4='Résultat du test'!J10,18,IF('Résultat du test'!E4='Résultat du test'!J11,25,IF('Résultat du test'!E4='Résultat du test'!J12,27,IF('Résultat du test'!E4='Résultat du test'!J13,28,0)))))))))))</f>
        <v>0</v>
      </c>
      <c r="D30" s="68">
        <f>IF('Résultat du test'!E4='Résultat du test'!J3,"Max de répétitions",IF('Résultat du test'!E4='Résultat du test'!J4,"Max de répétitions",IF('Résultat du test'!E4='Résultat du test'!J5,"Max de répétitions et minimum 4",IF('Résultat du test'!E4='Résultat du test'!J6,"Max de répétitions et minimum 6",IF('Résultat du test'!E4='Résultat du test'!J7,"Max de répétitions et minimum 9",IF('Résultat du test'!E4='Résultat du test'!J8,"Max de répétitions et minimum 11",IF('Résultat du test'!E4='Résultat du test'!J9,"Max de répétitions et minimum 16",IF('Résultat du test'!E4='Résultat du test'!J10,"Max de répétitions et minimum 19",IF('Résultat du test'!E4='Résultat du test'!J11,"Max de répétitions et minimum 25",IF('Résultat du test'!E4='Résultat du test'!J12,"Max de répétitions et minimum 28",IF('Résultat du test'!E4='Résultat du test'!J13,"Max de répétitions et minimum 28",0)))))))))))</f>
        <v>0</v>
      </c>
      <c r="E30" s="78"/>
      <c r="F30" s="66" t="s">
        <v>131</v>
      </c>
      <c r="G30" s="78"/>
      <c r="H30" s="76" t="s">
        <v>137</v>
      </c>
    </row>
    <row r="31" spans="1:15" x14ac:dyDescent="0.25">
      <c r="A31" s="214" t="s">
        <v>139</v>
      </c>
      <c r="B31" s="215"/>
      <c r="C31" s="215"/>
      <c r="D31" s="215"/>
      <c r="E31" s="215"/>
      <c r="F31" s="215"/>
      <c r="G31" s="215"/>
      <c r="H31" s="215"/>
    </row>
    <row r="32" spans="1:15" x14ac:dyDescent="0.25">
      <c r="A32" s="214" t="s">
        <v>140</v>
      </c>
      <c r="B32" s="215"/>
      <c r="C32" s="215"/>
      <c r="D32" s="215"/>
      <c r="E32" s="215"/>
      <c r="F32" s="215"/>
      <c r="G32" s="215"/>
      <c r="H32" s="215"/>
    </row>
    <row r="33" spans="1:17" s="1" customFormat="1" x14ac:dyDescent="0.25">
      <c r="I33" s="8"/>
      <c r="K33" s="8"/>
      <c r="L33" s="8"/>
      <c r="M33" s="8"/>
      <c r="N33" s="8"/>
      <c r="O33" s="8"/>
      <c r="P33" s="8"/>
      <c r="Q33" s="8"/>
    </row>
    <row r="34" spans="1:17" s="1" customFormat="1" ht="15.75" thickBot="1" x14ac:dyDescent="0.3">
      <c r="A34" s="213" t="s">
        <v>141</v>
      </c>
      <c r="B34" s="213"/>
      <c r="C34" s="213"/>
      <c r="D34" s="213"/>
      <c r="E34" s="213"/>
      <c r="F34" s="213"/>
      <c r="G34" s="213"/>
      <c r="H34" s="213"/>
      <c r="I34" s="8"/>
      <c r="K34" s="8"/>
      <c r="L34" s="8"/>
      <c r="M34" s="8"/>
      <c r="N34" s="8"/>
      <c r="O34" s="8"/>
      <c r="P34" s="8"/>
      <c r="Q34" s="8"/>
    </row>
    <row r="35" spans="1:17" x14ac:dyDescent="0.25">
      <c r="A35" s="72" t="s">
        <v>1</v>
      </c>
      <c r="B35" s="208" t="s">
        <v>324</v>
      </c>
      <c r="C35" s="209"/>
      <c r="D35" s="209"/>
      <c r="E35" s="209"/>
      <c r="F35" s="1"/>
      <c r="G35" s="1"/>
      <c r="H35" s="147" t="s">
        <v>325</v>
      </c>
    </row>
    <row r="36" spans="1:17" x14ac:dyDescent="0.25">
      <c r="A36" s="73" t="s">
        <v>2</v>
      </c>
      <c r="B36" s="74" t="s">
        <v>3</v>
      </c>
      <c r="C36" s="74" t="s">
        <v>4</v>
      </c>
      <c r="D36" s="74" t="s">
        <v>5</v>
      </c>
      <c r="E36" s="74" t="s">
        <v>6</v>
      </c>
      <c r="F36" s="74" t="s">
        <v>124</v>
      </c>
      <c r="G36" s="74" t="s">
        <v>125</v>
      </c>
      <c r="H36" s="74" t="s">
        <v>123</v>
      </c>
    </row>
    <row r="37" spans="1:17" x14ac:dyDescent="0.25">
      <c r="A37" s="79" t="s">
        <v>178</v>
      </c>
      <c r="B37" s="71">
        <f>IF('Résultat du test'!B5='Niveau 1'!N6,"5",IF('Résultat du test'!B5='Niveau 1'!N7,"6",IF('Résultat du test'!B5=N8,"3",IF('Résultat du test'!B5=N9,"5",IF('Résultat du test'!B5=N10,7,IF('Résultat du test'!B5=N11,10,IF('Résultat du test'!B5=N12,14,IF('Résultat du test'!B5=N13,17,IF('Résultat du test'!B5=N14,24,IF('Résultat du test'!B5=N15,26,IF('Résultat du test'!B5=N16,26,0)))))))))))</f>
        <v>0</v>
      </c>
      <c r="C37" s="65">
        <f>IF('Résultat du test'!B5='Niveau 1'!N6,"8",IF('Résultat du test'!B5='Niveau 1'!N7,"11",IF('Résultat du test'!B5=N8,"4",IF('Résultat du test'!B5=N9,"8",IF('Résultat du test'!B5=N10,10,IF('Résultat du test'!B5=N11,14,IF('Résultat du test'!B5=N12,19,IF('Résultat du test'!B5=N13,22,IF('Résultat du test'!B5=N14,27,IF('Résultat du test'!B5=N15,30,IF('Résultat du test'!B5=N16,31,0)))))))))))</f>
        <v>0</v>
      </c>
      <c r="D37" s="71">
        <f>IF('Résultat du test'!B5='Niveau 1'!N6,"7",IF('Résultat du test'!B5='Niveau 1'!N7,"8",IF('Résultat du test'!B5=N8,"3",IF('Résultat du test'!B5=N9,"5",IF('Résultat du test'!B5=N10,7,IF('Résultat du test'!B5=N11,10,IF('Résultat du test'!B5=N12,13,IF('Résultat du test'!B5=N13,17,IF('Résultat du test'!B5=N14,24,IF('Résultat du test'!B5=N15,25,IF('Résultat du test'!B5=N16,25,0)))))))))))</f>
        <v>0</v>
      </c>
      <c r="E37" s="71">
        <f>IF('Résultat du test'!B5='Niveau 1'!N6,"7",IF('Résultat du test'!B5='Niveau 1'!N7,"8",IF('Résultat du test'!B5=N8,"Max de répétitions et minimum 4",IF('Résultat du test'!B5=N9,"Max de répétitions et minimum 8",IF('Résultat du test'!B5=N10,"Max de répétitions et minimum 10",IF('Résultat du test'!B5=N11,"Max de répétitions et minimum 13",IF('Résultat du test'!B5=N12,"Max de répétitions et minimum 19",IF('Résultat du test'!B5=N13,"Max de répétitions et minimum 22",IF('Résultat du test'!B5=N14,"Max de répétitions et minimum 26",IF('Résultat du test'!B5=N15,"Max de répétitions et minimum 30",IF('Résultat du test'!B5=N16,"Max de répétitions et minimum 31",0)))))))))))</f>
        <v>0</v>
      </c>
      <c r="F37" s="66" t="s">
        <v>126</v>
      </c>
      <c r="G37" s="66" t="s">
        <v>127</v>
      </c>
      <c r="H37" s="75" t="str">
        <f>IF(OR('Résultat du test'!B5='Niveau 1'!N6,'Résultat du test'!B5='Niveau 1'!N7),"Toutes les répétitions en excentrique : voir vidéo","")</f>
        <v/>
      </c>
    </row>
    <row r="38" spans="1:17" x14ac:dyDescent="0.25">
      <c r="A38" s="79" t="s">
        <v>7</v>
      </c>
      <c r="B38" s="71">
        <f>IF('Résultat du test'!B4='Niveau 1'!M6,"5",IF('Résultat du test'!B4='Niveau 1'!M7,"9",IF('Résultat du test'!B4=M8,"12",IF('Résultat du test'!B4=M9,"18",IF('Résultat du test'!B4=M10,21,IF('Résultat du test'!B4=M11, "voir note",IF('Résultat du test'!B4=M12,"voir note",IF('Résultat du test'!B4=M13,"voir note",IF('Résultat du test'!B4=M14,"voir note",IF('Résultat du test'!B4=M15,"voir note",IF('Résultat du test'!B4=M16,"voir note",IF('Résultat du test'!B4=M17,"voir note",0))))))))))))</f>
        <v>0</v>
      </c>
      <c r="C38" s="68">
        <f>IF('Résultat du test'!B4='Niveau 1'!M6,"6",IF('Résultat du test'!B4='Niveau 1'!M7,"11",IF('Résultat du test'!B4=M8,"14",IF('Résultat du test'!B4=M9,"22",IF('Résultat du test'!B4=M10,25,IF('Résultat du test'!B4=M11,"voir note",IF('Résultat du test'!B4=M12,"voir note",IF('Résultat du test'!B4=M13,"voir note",IF('Résultat du test'!B4=M14,"voir note",IF('Résultat du test'!B4=M15,"voir note",IF('Résultat du test'!B4=M16,"voir note",IF('Résultat du test'!B4=M17,"voir note",0))))))))))))</f>
        <v>0</v>
      </c>
      <c r="D38" s="68">
        <f>IF('Résultat du test'!B4='Niveau 1'!M6,"4",IF('Résultat du test'!B4='Niveau 1'!M7,"8",IF('Résultat du test'!B4=M8,"10",IF('Résultat du test'!B4=M9,"16",IF('Résultat du test'!B4=M10,21,IF('Résultat du test'!B4=M11,"voir note",IF('Résultat du test'!B4=M12,"voir note",IF('Résultat du test'!B4=M13,"voir note",IF('Résultat du test'!B4=M14,"voir note",IF('Résultat du test'!B4=M15,"voir note",IF('Résultat du test'!B4=M16,"voir note",IF('Résultat du test'!B4=M17,"voir note",0))))))))))))</f>
        <v>0</v>
      </c>
      <c r="E38" s="71">
        <f>IF('Résultat du test'!B4='Niveau 1'!M6,"Max de répétitions et minimum 6",IF('Résultat du test'!B4='Niveau 1'!M7,"Max de répétitions et minimum 11",IF('Résultat du test'!B4=M8,"Max de répétitions et minimum 15",IF('Résultat du test'!B4=M9,"Max de répétitions et minimum 21",IF('Résultat du test'!B4=M10,"Max de répétitions et minimum 27",IF('Résultat du test'!B4=M11,"voir note",IF('Résultat du test'!B4=M12,"voir note",IF('Résultat du test'!B4=M13,"voir note",IF('Résultat du test'!B4=M14,"voir note",IF('Résultat du test'!B4=M15,"voir note",IF('Résultat du test'!B4=M16,"voir note",IF('Résultat du test'!B4=M17,"voir note",0))))))))))))</f>
        <v>0</v>
      </c>
      <c r="F38" s="66" t="s">
        <v>127</v>
      </c>
      <c r="G38" s="66" t="s">
        <v>128</v>
      </c>
      <c r="H38" s="109" t="str">
        <f>IF('Résultat du test'!B4&gt;M10,"Refaire le test : 1 x max et mettre à jour l'onglet résultat du test","")</f>
        <v/>
      </c>
    </row>
    <row r="39" spans="1:17" x14ac:dyDescent="0.25">
      <c r="A39" s="79" t="s">
        <v>302</v>
      </c>
      <c r="B39" s="71">
        <f>IF('Résultat du test'!B6='Niveau 1'!O6,"8",IF('Résultat du test'!B6='Niveau 1'!O7,"12",IF('Résultat du test'!B6=O8,"20",IF('Résultat du test'!B6=O9,"24",IF('Résultat du test'!B6=O10,28,IF('Résultat du test'!B6=O11,34,IF('Résultat du test'!B6=O12,40,IF('Résultat du test'!B6=O13,46,IF('Résultat du test'!B6=O14,52,IF('Résultat du test'!B6=O15,58,IF('Résultat du test'!B6=O16,52,IF('Résultat du test'!B6=O17,56,IF('Résultat du test'!B6=O18,60,IF('Résultat du test'!B6=O19,64,0))))))))))))))</f>
        <v>0</v>
      </c>
      <c r="C39" s="68">
        <f>IF('Résultat du test'!B6='Niveau 1'!O6,"8",IF('Résultat du test'!B6='Niveau 1'!O7,"12",IF('Résultat du test'!B6=O8,"20",IF('Résultat du test'!B6=O9,"24",IF('Résultat du test'!B6=O10,28,IF('Résultat du test'!B6=O11,34,IF('Résultat du test'!B6=O12,40,IF('Résultat du test'!B6=O13,46,IF('Résultat du test'!B6=O14,52,IF('Résultat du test'!B6=O15,58,IF('Résultat du test'!B6=O16,52,IF('Résultat du test'!B6=O17,56,IF('Résultat du test'!B6=O18,60,IF('Résultat du test'!B6=O19,64,0))))))))))))))</f>
        <v>0</v>
      </c>
      <c r="D39" s="71">
        <f>IF('Résultat du test'!B6='Niveau 1'!O6,"8",IF('Résultat du test'!B6='Niveau 1'!O7,"12",IF('Résultat du test'!B6=O8,"18",IF('Résultat du test'!B6=O9,"24",IF('Résultat du test'!B6=O10,28,IF('Résultat du test'!B6=O11,34,IF('Résultat du test'!B6=O12,42,IF('Résultat du test'!B6=O13,46,IF('Résultat du test'!B6=O14,52,IF('Résultat du test'!B6=O15,54,IF('Résultat du test'!B6=O16,44,IF('Résultat du test'!B6=O17,52,IF('Résultat du test'!B6=O18,58,IF('Résultat du test'!B6=O19,64,0))))))))))))))</f>
        <v>0</v>
      </c>
      <c r="E39" s="71">
        <f>IF('Résultat du test'!B6='Niveau 1'!O6,"Max de répétitions et minimum 8",IF('Résultat du test'!B6='Niveau 1'!O7,"Max de répétitions et minimum 12",IF('Résultat du test'!B6=O8,"Max de répétitions et minimum 22",IF('Résultat du test'!B6=O9,"Max de répétitions et minimum 26",IF('Résultat du test'!B6=O10,"Max de répétitions et minimum 30",IF('Résultat du test'!B6=O11,"Max de répétitions et minimum 36",IF('Résultat du test'!B6=O12,"Max de répétitions et minimum 40",IF('Résultat du test'!B6=O13,"Max de répétitions et minimum 48",IF('Résultat du test'!B6=O14,"Max de répétitions et minimum 54",IF('Résultat du test'!B6=O15,"Max de répétitions et minimum 60",IF('Résultat du test'!B6=O16,"Max de répétitions et minimum 52",IF('Résultat du test'!B6=O17,"Max de répétitions et minimum 58",IF('Résultat du test'!B6=O18,"Max de répétitions et minimum 62",IF('Résultat du test'!B6=O19,"Max de répétitions et minimum 66",0))))))))))))))</f>
        <v>0</v>
      </c>
      <c r="F39" s="66" t="s">
        <v>130</v>
      </c>
      <c r="G39" s="66" t="s">
        <v>128</v>
      </c>
      <c r="H39" s="67" t="s">
        <v>138</v>
      </c>
    </row>
    <row r="40" spans="1:17" x14ac:dyDescent="0.25">
      <c r="A40" s="79" t="s">
        <v>157</v>
      </c>
      <c r="B40" s="68">
        <f>IF('Résultat du test'!B8='Niveau 1'!N6,"4",IF('Résultat du test'!B8='Niveau 1'!N7,"5",IF('Résultat du test'!B8=N8,"3",IF('Résultat du test'!B8=N9,"5",IF('Résultat du test'!B8=N10,7,IF('Résultat du test'!B8=N11,10,IF('Résultat du test'!B8=N12,14,IF('Résultat du test'!B8=N13,17,IF('Résultat du test'!B8=N14,24,IF('Résultat du test'!B8=N15,26,IF('Résultat du test'!B8=N16,26,0)))))))))))</f>
        <v>0</v>
      </c>
      <c r="C40" s="68">
        <f>IF('Résultat du test'!B8='Niveau 1'!N6,"4",IF('Résultat du test'!B8='Niveau 1'!N7,"5",IF('Résultat du test'!B8=N8,"4",IF('Résultat du test'!B8=N9,"8",IF('Résultat du test'!B8=N10,10,IF('Résultat du test'!B8=N11,14,IF('Résultat du test'!B8=N12,19,IF('Résultat du test'!B8=N13,22,IF('Résultat du test'!B8=N14,27,IF('Résultat du test'!B8=N15,30,IF('Résultat du test'!B8=N16,31,0)))))))))))</f>
        <v>0</v>
      </c>
      <c r="D40" s="68">
        <f>IF('Résultat du test'!B8='Niveau 1'!N6,"Max de répétitions",IF('Résultat du test'!B8='Niveau 1'!N7,"Max de répétitions",IF('Résultat du test'!B8=N8,"Max de répétitions et minimum 4",IF('Résultat du test'!B8=N9,"Max de répétitions et minimum 8",IF('Résultat du test'!B8=N10,"Max de répétitions et minimum 10",IF('Résultat du test'!B8=N11,"Max de répétitions et minimum 13",IF('Résultat du test'!B8=N12,"Max de répétitions et minimum 19",IF('Résultat du test'!B8=N13,"Max de répétitions et minimum 22",IF('Résultat du test'!B8=N14,"Max de répétitions et minimum 26",IF('Résultat du test'!B8=N15,"Max de répétitions et minimum 30",IF('Résultat du test'!B8=N16,"Max de répétitions et minimum 31",0)))))))))))</f>
        <v>0</v>
      </c>
      <c r="E40" s="78"/>
      <c r="F40" s="66" t="s">
        <v>131</v>
      </c>
      <c r="G40" s="66" t="s">
        <v>131</v>
      </c>
      <c r="H40" s="70"/>
    </row>
    <row r="41" spans="1:17" x14ac:dyDescent="0.25">
      <c r="A41" s="79" t="s">
        <v>168</v>
      </c>
      <c r="B41" s="68">
        <f>IF('Résultat du test'!B7='Niveau 1'!N6,"4",IF('Résultat du test'!B7='Niveau 1'!N7,"5",IF('Résultat du test'!B7=N8,"3",IF('Résultat du test'!B7=N9,"5",IF('Résultat du test'!B7=N10,7,IF('Résultat du test'!B7=N11,10,IF('Résultat du test'!B7=N12,14,IF('Résultat du test'!B7=N13,17,IF('Résultat du test'!B7=N14,24,IF('Résultat du test'!B7=N15,26,IF('Résultat du test'!B7=N16,26,0)))))))))))</f>
        <v>0</v>
      </c>
      <c r="C41" s="68">
        <f>IF('Résultat du test'!B7='Niveau 1'!N6,"4",IF('Résultat du test'!B7='Niveau 1'!N7,"5",IF('Résultat du test'!B7=N8,"4",IF('Résultat du test'!B7=N9,"8",IF('Résultat du test'!B7=N10,10,IF('Résultat du test'!B7=N11,14,IF('Résultat du test'!B7=N12,19,IF('Résultat du test'!B7=N13,22,IF('Résultat du test'!B7=N14,27,IF('Résultat du test'!B7=N15,30,IF('Résultat du test'!B7=N16,31,0)))))))))))</f>
        <v>0</v>
      </c>
      <c r="D41" s="68">
        <f>IF('Résultat du test'!B7='Niveau 1'!N6,"Max de répétitions",IF('Résultat du test'!B7='Niveau 1'!N7,"Max de répétitions",IF('Résultat du test'!B7=N8,"Max de répétitions et minimum 4",IF('Résultat du test'!B7=N9,"Max de répétitions et minimum 8",IF('Résultat du test'!B7=N10,"Max de répétitions et minimum 10",IF('Résultat du test'!B7=N11,"Max de répétitions et minimum 13",IF('Résultat du test'!B7=N12,"Max de répétitions et minimum 19",IF('Résultat du test'!B7=N13,"Max de répétitions et minimum 22",IF('Résultat du test'!B7=N14,"Max de répétitions et minimum 26",IF('Résultat du test'!B7=N15,"Max de répétitions et minimum 30",IF('Résultat du test'!B7=N16,"Max de répétitions et minimum 31",0)))))))))))</f>
        <v>0</v>
      </c>
      <c r="E41" s="78"/>
      <c r="F41" s="66" t="s">
        <v>131</v>
      </c>
      <c r="G41" s="66" t="s">
        <v>131</v>
      </c>
      <c r="H41" s="70"/>
    </row>
    <row r="42" spans="1:17" x14ac:dyDescent="0.25">
      <c r="A42" s="79" t="s">
        <v>136</v>
      </c>
      <c r="B42" s="68">
        <f>IF('Résultat du test'!E5='Résultat du test'!J3,"3",IF('Résultat du test'!E5='Résultat du test'!J4,"3",IF('Résultat du test'!E5='Résultat du test'!J5,"2",IF('Résultat du test'!E5='Résultat du test'!J6,"4",IF('Résultat du test'!E5='Résultat du test'!J7,6,IF('Résultat du test'!E5='Résultat du test'!J8,9,IF('Résultat du test'!E5='Résultat du test'!J9,13,IF('Résultat du test'!E5='Résultat du test'!J10,16,IF('Résultat du test'!E5='Résultat du test'!J11,22,IF('Résultat du test'!E5='Résultat du test'!J12,24,IF('Résultat du test'!E5='Résultat du test'!J13,25,0)))))))))))</f>
        <v>0</v>
      </c>
      <c r="C42" s="68">
        <f>IF('Résultat du test'!E5='Résultat du test'!J3,"3",IF('Résultat du test'!E5='Résultat du test'!J4,"2",IF('Résultat du test'!E5='Résultat du test'!J5,"3",IF('Résultat du test'!E5='Résultat du test'!J6,"5",IF('Résultat du test'!E5='Résultat du test'!J7,8,IF('Résultat du test'!E5='Résultat du test'!J8,11,IF('Résultat du test'!E5='Résultat du test'!J9,16,IF('Résultat du test'!E5='Résultat du test'!J10,18,IF('Résultat du test'!E5='Résultat du test'!J11,25,IF('Résultat du test'!E5='Résultat du test'!J12,27,IF('Résultat du test'!E5='Résultat du test'!J13,28,0)))))))))))</f>
        <v>0</v>
      </c>
      <c r="D42" s="68">
        <f>IF('Résultat du test'!E5='Résultat du test'!J3,"Max de répétitions",IF('Résultat du test'!E5='Résultat du test'!J4,"Max de répétitions",IF('Résultat du test'!E5='Résultat du test'!J5,"Max de répétitions et minimum 4",IF('Résultat du test'!E5='Résultat du test'!J6,"Max de répétitions et minimum 6",IF('Résultat du test'!E5='Résultat du test'!J7,"Max de répétitions et minimum 9",IF('Résultat du test'!E5='Résultat du test'!J8,"Max de répétitions et minimum 11",IF('Résultat du test'!E5='Résultat du test'!J9,"Max de répétitions et minimum 16",IF('Résultat du test'!E5='Résultat du test'!J10,"Max de répétitions et minimum 19",IF('Résultat du test'!E5='Résultat du test'!J11,"Max de répétitions et minimum 25",IF('Résultat du test'!E5='Résultat du test'!J12,"Max de répétitions et minimum 28",IF('Résultat du test'!E5='Résultat du test'!J13,"Max de répétitions et minimum 28",0)))))))))))</f>
        <v>0</v>
      </c>
      <c r="E42" s="78"/>
      <c r="F42" s="66" t="s">
        <v>131</v>
      </c>
      <c r="G42" s="78"/>
      <c r="H42" s="70"/>
    </row>
    <row r="43" spans="1:17" ht="15.75" thickBot="1" x14ac:dyDescent="0.3">
      <c r="A43" s="214" t="s">
        <v>132</v>
      </c>
      <c r="B43" s="215"/>
      <c r="C43" s="215"/>
      <c r="D43" s="215"/>
      <c r="E43" s="215"/>
      <c r="F43" s="215"/>
      <c r="G43" s="215"/>
      <c r="H43" s="215"/>
    </row>
    <row r="44" spans="1:17" x14ac:dyDescent="0.25">
      <c r="A44" s="72" t="s">
        <v>133</v>
      </c>
      <c r="B44" s="208" t="s">
        <v>324</v>
      </c>
      <c r="C44" s="209"/>
      <c r="D44" s="209"/>
      <c r="E44" s="209"/>
      <c r="F44" s="1"/>
      <c r="G44" s="1"/>
      <c r="H44" s="147" t="s">
        <v>325</v>
      </c>
    </row>
    <row r="45" spans="1:17" x14ac:dyDescent="0.25">
      <c r="A45" s="73" t="s">
        <v>2</v>
      </c>
      <c r="B45" s="74" t="s">
        <v>3</v>
      </c>
      <c r="C45" s="74" t="s">
        <v>4</v>
      </c>
      <c r="D45" s="74" t="s">
        <v>5</v>
      </c>
      <c r="E45" s="74" t="s">
        <v>6</v>
      </c>
      <c r="F45" s="74" t="s">
        <v>124</v>
      </c>
      <c r="G45" s="74" t="s">
        <v>125</v>
      </c>
      <c r="H45" s="74" t="s">
        <v>123</v>
      </c>
    </row>
    <row r="46" spans="1:17" x14ac:dyDescent="0.25">
      <c r="A46" s="79" t="s">
        <v>7</v>
      </c>
      <c r="B46" s="65">
        <f>IF('Résultat du test'!B4='Niveau 1'!M6,"5",IF('Résultat du test'!B4='Niveau 1'!M7,"10",IF('Résultat du test'!B4=M8,"13",IF('Résultat du test'!B4=M9,"20",IF('Résultat du test'!B4=M10,25,IF('Résultat du test'!B4=M11,17,IF('Résultat du test'!B4=M12,22,IF('Résultat du test'!B4=M13,27,IF('Résultat du test'!B4=M14,30,IF('Résultat du test'!B4=M15,30,IF('Résultat du test'!B4=M16,30,IF('Résultat du test'!B4=M17,35,0))))))))))))</f>
        <v>0</v>
      </c>
      <c r="C46" s="65">
        <f>IF('Résultat du test'!B4='Niveau 1'!M6,"6",IF('Résultat du test'!B4='Niveau 1'!M7,"12",IF('Résultat du test'!B4=M8,"15",IF('Résultat du test'!B4=M9,"25",IF('Résultat du test'!B4=M10,29,IF('Résultat du test'!B4=M11,19,IF('Résultat du test'!B4=M12,24,IF('Résultat du test'!B4=M13,29,IF('Résultat du test'!B4=M14,34,IF('Résultat du test'!B4=M15,39,IF('Résultat du test'!B4=M16,44,IF('Résultat du test'!B4=M17,49,0))))))))))))</f>
        <v>0</v>
      </c>
      <c r="D46" s="65">
        <f>IF('Résultat du test'!B4='Niveau 1'!M6,"4",IF('Résultat du test'!B4='Niveau 1'!M7,"9",IF('Résultat du test'!B4=M8,"11",IF('Résultat du test'!B4=M9,"20",IF('Résultat du test'!B4=M10,25,IF('Résultat du test'!B4=M11,15,IF('Résultat du test'!B4=M12,20,IF('Résultat du test'!B4=M13,25,IF('Résultat du test'!B4=M14,30,IF('Résultat du test'!B4=M15,35,IF('Résultat du test'!B4=M16,40,IF('Résultat du test'!B4=M17,45,0))))))))))))</f>
        <v>0</v>
      </c>
      <c r="E46" s="65">
        <f>IF('Résultat du test'!B4='Niveau 1'!M6,"Max de répétitions et minimum 7",IF('Résultat du test'!B4='Niveau 1'!M7,"Max de répétitions et minimum 13",IF('Résultat du test'!B4=M8,"Max de répétitions et minimum 17",IF('Résultat du test'!B4=M9,"Max de répétitions et minimum 23",IF('Résultat du test'!B4=M10,"Max de répétitions et minimum 30",IF('Résultat du test'!B4=M11,"Max de répétitions et minimum 20",IF('Résultat du test'!B4=M12,"Max de répétitions et minimum 25",IF('Résultat du test'!B4=M13,"Max de répétitions et minimum 35",IF('Résultat du test'!B4=M14,"Max de répétitions et minimum 40",IF('Résultat du test'!B4=M15,"Max de répétitions et minimum 42",IF('Résultat du test'!B4=M16,"Max de répétitions et minimum 55",IF('Résultat du test'!B4=M17,"Max de répétitions et minimum 55",0))))))))))))</f>
        <v>0</v>
      </c>
      <c r="F46" s="66" t="s">
        <v>144</v>
      </c>
      <c r="G46" s="66" t="s">
        <v>128</v>
      </c>
      <c r="H46" s="70"/>
    </row>
    <row r="47" spans="1:17" ht="15" customHeight="1" x14ac:dyDescent="0.25">
      <c r="A47" s="79" t="s">
        <v>178</v>
      </c>
      <c r="B47" s="68">
        <f>IF('Résultat du test'!B5='Niveau 1'!N6,"5",IF('Résultat du test'!B5='Niveau 1'!N7,"7",IF('Résultat du test'!B5=N8,"3",IF('Résultat du test'!B5=N9,"6",IF('Résultat du test'!B5=N10,8,IF('Résultat du test'!B5=N11,11,IF('Résultat du test'!B5=N12,14,IF('Résultat du test'!B5=N13,18,IF('Résultat du test'!B5=N14,25,IF('Résultat du test'!B5=N15,26,IF('Résultat du test'!B5=N16,26,0)))))))))))</f>
        <v>0</v>
      </c>
      <c r="C47" s="68">
        <f>IF('Résultat du test'!B5='Niveau 1'!N6,"10",IF('Résultat du test'!B5='Niveau 1'!N7,"12",IF('Résultat du test'!B5=N8,"4",IF('Résultat du test'!B5=N9,"9",IF('Résultat du test'!B5=N10,11,IF('Résultat du test'!B5=N11,15,IF('Résultat du test'!B5=N12,20,IF('Résultat du test'!B5=N13,25,IF('Résultat du test'!B5=N14,29,IF('Résultat du test'!B5=N15,31,IF('Résultat du test'!B5=N16,32,0)))))))))))</f>
        <v>0</v>
      </c>
      <c r="D47" s="68">
        <f>IF('Résultat du test'!B5='Niveau 1'!N6,"8",IF('Résultat du test'!B5='Niveau 1'!N7,"10",IF('Résultat du test'!B5=N8,"3",IF('Résultat du test'!B5=N9,"6",IF('Résultat du test'!B5=N10,8,IF('Résultat du test'!B5=N11,11,IF('Résultat du test'!B5=N12,14,IF('Résultat du test'!B5=N13,18,IF('Résultat du test'!B5=N14,25,IF('Résultat du test'!B5=N15,26,IF('Résultat du test'!B5=N16,26,0)))))))))))</f>
        <v>0</v>
      </c>
      <c r="E47" s="68">
        <f>IF('Résultat du test'!B5='Niveau 1'!N6,"8",IF('Résultat du test'!B5='Niveau 1'!N7,"10",IF('Résultat du test'!B5=N8,"Max de répétitions et minimum 5",IF('Résultat du test'!B5=N9,"Max de répétitions et minimum 8",IF('Résultat du test'!B5=N10,"Max de répétitions et minimum 10",IF('Résultat du test'!B5=N11,"Max de répétitions et minimum 13",IF('Résultat du test'!B5=N12,"Max de répétitions et minimum 20",IF('Résultat du test'!B5=N13,"Max de répétitions et minimum 22",IF('Résultat du test'!B5=N14,"Max de répétitions et minimum 27",IF('Résultat du test'!B5=N15,"Max de répétitions et minimum 31",IF('Résultat du test'!B5=N16,"Max de répétitions et minimum 31",0)))))))))))</f>
        <v>0</v>
      </c>
      <c r="F47" s="66" t="s">
        <v>126</v>
      </c>
      <c r="G47" s="66" t="s">
        <v>127</v>
      </c>
      <c r="H47" s="69" t="str">
        <f>IF(OR('Résultat du test'!B5='Niveau 1'!N6,'Résultat du test'!B5='Niveau 1'!N7),"Toutes les répétitions en excentrique : voir vidéo","")</f>
        <v/>
      </c>
    </row>
    <row r="48" spans="1:17" x14ac:dyDescent="0.25">
      <c r="A48" s="79" t="s">
        <v>302</v>
      </c>
      <c r="B48" s="68">
        <f>IF('Résultat du test'!B6='Niveau 1'!O6,"8",IF('Résultat du test'!B6='Niveau 1'!O7,"12",IF('Résultat du test'!B6=O8,"22",IF('Résultat du test'!B6=O9,"24",IF('Résultat du test'!B6=O10,28,IF('Résultat du test'!B6=O11,36,IF('Résultat du test'!B6=O12,40,IF('Résultat du test'!B6=O13,46,IF('Résultat du test'!B6=O14,54,IF('Résultat du test'!B6=O15,58,IF('Résultat du test'!B6=O16,44,IF('Résultat du test'!B6=O17,58,IF('Résultat du test'!B6=O18,60,IF('Résultat du test'!B6=O19,64,0))))))))))))))</f>
        <v>0</v>
      </c>
      <c r="C48" s="68">
        <f>IF('Résultat du test'!B6='Niveau 1'!O6,"8",IF('Résultat du test'!B6='Niveau 1'!O7,"12",IF('Résultat du test'!B6=O8,"22",IF('Résultat du test'!B6=O9,"24",IF('Résultat du test'!B6=O10,28,IF('Résultat du test'!B6=O11,36,IF('Résultat du test'!B6=O12,40,IF('Résultat du test'!B6=O13,46,IF('Résultat du test'!B6=O14,52,IF('Résultat du test'!B6=O15,58,IF('Résultat du test'!B6=O16,44,IF('Résultat du test'!B6=O17,58,IF('Résultat du test'!B6=O18,60,IF('Résultat du test'!B6=O19,64,0))))))))))))))</f>
        <v>0</v>
      </c>
      <c r="D48" s="68">
        <f>IF('Résultat du test'!B6='Niveau 1'!O6,"6",IF('Résultat du test'!B6='Niveau 1'!O7,"14",IF('Résultat du test'!B6=O8,"18",IF('Résultat du test'!B6=O9,"24",IF('Résultat du test'!B6=O10,30,IF('Résultat du test'!B6=O11,34,IF('Résultat du test'!B6=O12,42,IF('Résultat du test'!B6=O13,46,IF('Résultat du test'!B6=O14,52,IF('Résultat du test'!B6=O15,56,IF('Résultat du test'!B6=O16,52,IF('Résultat du test'!B6=O17,52,IF('Résultat du test'!B6=O18,58,IF('Résultat du test'!B6=O19,64,0))))))))))))))</f>
        <v>0</v>
      </c>
      <c r="E48" s="71">
        <f>IF('Résultat du test'!B6='Niveau 1'!O6,"Max de répétitions et minimum 10",IF('Résultat du test'!B6='Niveau 1'!O7,"Max de répétitions et minimum 16",IF('Résultat du test'!B6=O8,"Max de répétitions et minimum 22",IF('Résultat du test'!B6=O9,"Max de répétitions et minimum 26",IF('Résultat du test'!B6=O10,"Max de répétitions et minimum 30",IF('Résultat du test'!B6=O11,"Max de répétitions et minimum 36",IF('Résultat du test'!B6=O12,"Max de répétitions et minimum 40",IF('Résultat du test'!B6=O13,"Max de répétitions et minimum 48",IF('Résultat du test'!B6=O14,"Max de répétitions et minimum 56",IF('Résultat du test'!B6=O15,"Max de répétitions et minimum 60",IF('Résultat du test'!B6=O16,"Max de répétitions et minimum 54",IF('Résultat du test'!B6=O17,"Max de répétitions et minimum 58",IF('Résultat du test'!B6=O18,"Max de répétitions et minimum 62",IF('Résultat du test'!B6=O19,"Max de répétitions et minimum 66",0))))))))))))))</f>
        <v>0</v>
      </c>
      <c r="F48" s="66" t="s">
        <v>130</v>
      </c>
      <c r="G48" s="66" t="s">
        <v>128</v>
      </c>
      <c r="H48" s="67" t="s">
        <v>138</v>
      </c>
    </row>
    <row r="49" spans="1:8" x14ac:dyDescent="0.25">
      <c r="A49" s="79" t="s">
        <v>168</v>
      </c>
      <c r="B49" s="68">
        <f>IF('Résultat du test'!B7='Niveau 1'!N6,"5",IF('Résultat du test'!B7='Niveau 1'!N7,"4",IF('Résultat du test'!B7=N8,"3",IF('Résultat du test'!B7=N9,"6",IF('Résultat du test'!B7=N10,8,IF('Résultat du test'!B7=N11,11,IF('Résultat du test'!B7=N12,14,IF('Résultat du test'!B7=N13,18,IF('Résultat du test'!B7=N14,25,IF('Résultat du test'!B7=N15,26,IF('Résultat du test'!B7=N16,26,0)))))))))))</f>
        <v>0</v>
      </c>
      <c r="C49" s="68">
        <f>IF('Résultat du test'!B7='Niveau 1'!N6,"5",IF('Résultat du test'!B7='Niveau 1'!N7,"6",IF('Résultat du test'!B7=N8,"4",IF('Résultat du test'!B7=N9,"9",IF('Résultat du test'!B7=N10,11,IF('Résultat du test'!B7=N11,15,IF('Résultat du test'!B7=N12,20,IF('Résultat du test'!B7=N13,25,IF('Résultat du test'!B7=N14,29,IF('Résultat du test'!B7=N15,31,IF('Résultat du test'!B7=N16,32,0)))))))))))</f>
        <v>0</v>
      </c>
      <c r="D49" s="68">
        <f>IF('Résultat du test'!B7='Niveau 1'!N6,"Max de répétitions",IF('Résultat du test'!B7='Niveau 1'!N7,"Max de répétitions",IF('Résultat du test'!B7=N8,"Max de répétitions et minimum 5",IF('Résultat du test'!B7=N9,"Max de répétitions et minimum 8",IF('Résultat du test'!B7=N10,"Max de répétitions et minimum 10",IF('Résultat du test'!B7=N11,"Max de répétitions et minimum 13",IF('Résultat du test'!B7=N12,"Max de répétitions et minimum 20",IF('Résultat du test'!B7=N13,"Max de répétitions et minimum 22",IF('Résultat du test'!B7=N14,"Max de répétitions et minimum 27",IF('Résultat du test'!B7=N15,"Max de répétitions et minimum 31",IF('Résultat du test'!B7=N16,"Max de répétitions et minimum 31",0)))))))))))</f>
        <v>0</v>
      </c>
      <c r="E49" s="78"/>
      <c r="F49" s="66" t="s">
        <v>131</v>
      </c>
      <c r="G49" s="66" t="s">
        <v>131</v>
      </c>
      <c r="H49" s="70"/>
    </row>
    <row r="50" spans="1:8" x14ac:dyDescent="0.25">
      <c r="A50" s="79" t="s">
        <v>157</v>
      </c>
      <c r="B50" s="68">
        <f>IF('Résultat du test'!B8='Niveau 1'!N6,"5",IF('Résultat du test'!B8='Niveau 1'!N7,"4",IF('Résultat du test'!B8=N8,"3",IF('Résultat du test'!B8=N9,"6",IF('Résultat du test'!B8=N10,8,IF('Résultat du test'!B8=N11,11,IF('Résultat du test'!B8=N12,14,IF('Résultat du test'!B8=N13,18,IF('Résultat du test'!B8=N14,25,IF('Résultat du test'!B8=N15,26,IF('Résultat du test'!B8=N16,26,0)))))))))))</f>
        <v>0</v>
      </c>
      <c r="C50" s="68">
        <f>IF('Résultat du test'!B8='Niveau 1'!N6,"5",IF('Résultat du test'!B8='Niveau 1'!N7,"6",IF('Résultat du test'!B8=N8,"4",IF('Résultat du test'!B8=N9,"9",IF('Résultat du test'!B8=N10,11,IF('Résultat du test'!B8=N11,15,IF('Résultat du test'!B8=N12,20,IF('Résultat du test'!B8=N13,25,IF('Résultat du test'!B8=N14,29,IF('Résultat du test'!B8=N15,31,IF('Résultat du test'!B8=N16,32,0)))))))))))</f>
        <v>0</v>
      </c>
      <c r="D50" s="68">
        <f>IF('Résultat du test'!B8='Niveau 1'!N6,"Max de répétitions",IF('Résultat du test'!B8='Niveau 1'!N7,"Max de répétitions",IF('Résultat du test'!B8=N8,"Max de répétitions et minimum 5",IF('Résultat du test'!B8=N9,"Max de répétitions et minimum 8",IF('Résultat du test'!B8=N10,"Max de répétitions et minimum 10",IF('Résultat du test'!B8=N11,"Max de répétitions et minimum 13",IF('Résultat du test'!B8=N12,"Max de répétitions et minimum 20",IF('Résultat du test'!B8=N13,"Max de répétitions et minimum 22",IF('Résultat du test'!B8=N14,"Max de répétitions et minimum 27",IF('Résultat du test'!B8=N15,"Max de répétitions et minimum 31",IF('Résultat du test'!B8=N16,"Max de répétitions et minimum 31",0)))))))))))</f>
        <v>0</v>
      </c>
      <c r="E50" s="78"/>
      <c r="F50" s="66" t="s">
        <v>131</v>
      </c>
      <c r="G50" s="66" t="s">
        <v>131</v>
      </c>
      <c r="H50" s="70"/>
    </row>
    <row r="51" spans="1:8" x14ac:dyDescent="0.25">
      <c r="A51" s="79" t="s">
        <v>327</v>
      </c>
      <c r="B51" s="68">
        <f>IF('Résultat du test'!E4='Niveau 1'!N6,"4",IF('Résultat du test'!E4='Niveau 1'!N7,"5",IF('Résultat du test'!E4=N8,"3",IF('Résultat du test'!E4=N9,"5",IF('Résultat du test'!E4=N10,7,IF('Résultat du test'!E4=N11,9,IF('Résultat du test'!E4=N12,13,IF('Résultat du test'!E4=N13,17,IF('Résultat du test'!E4=N14,23,IF('Résultat du test'!E4=N15,25,IF('Résultat du test'!E4=N16,25,0)))))))))))</f>
        <v>0</v>
      </c>
      <c r="C51" s="71">
        <f>IF('Résultat du test'!E4='Niveau 1'!N6,"3",IF('Résultat du test'!E4='Niveau 1'!N7,"4",IF('Résultat du test'!E4=N8,"4",IF('Résultat du test'!E4=N9,"7",IF('Résultat du test'!E4=N10,10,IF('Résultat du test'!E4=N11,13,IF('Résultat du test'!E4=N12,16,IF('Résultat du test'!E4=N13,21,IF('Résultat du test'!E4=N14,26,IF('Résultat du test'!E4=N15,29,IF('Résultat du test'!E4=N16,30,0)))))))))))</f>
        <v>0</v>
      </c>
      <c r="D51" s="68">
        <f>IF('Résultat du test'!E4='Niveau 1'!N6,"Max de répétitions",IF('Résultat du test'!E4='Niveau 1'!N7,"Max de répétitions",IF('Résultat du test'!E4=N8,"Max de répétitions et minimum 4",IF('Résultat du test'!E4=N9,"Max de répétitions et minimum 6",IF('Résultat du test'!E4=N10,"Max de répétitions et minimum 9",IF('Résultat du test'!E4=N11,"Max de répétitions et minimum 12",IF('Résultat du test'!E4=N12,"Max de répétitions et minimum 16",IF('Résultat du test'!E4=N13,"Max de répétitions et minimum 20",IF('Résultat du test'!E4=N14,"Max de répétitions et minimum 25",IF('Résultat du test'!E4=N15,"Max de répétitions et minimum 29",IF('Résultat du test'!E4=N16,"Max de répétitions et minimum 29",0)))))))))))</f>
        <v>0</v>
      </c>
      <c r="E51" s="78"/>
      <c r="F51" s="66" t="s">
        <v>131</v>
      </c>
      <c r="G51" s="78"/>
      <c r="H51" s="70"/>
    </row>
    <row r="52" spans="1:8" ht="15.75" thickBot="1" x14ac:dyDescent="0.3">
      <c r="A52" s="214" t="s">
        <v>134</v>
      </c>
      <c r="B52" s="215"/>
      <c r="C52" s="215"/>
      <c r="D52" s="215"/>
      <c r="E52" s="215"/>
      <c r="F52" s="215"/>
      <c r="G52" s="215"/>
      <c r="H52" s="215"/>
    </row>
    <row r="53" spans="1:8" x14ac:dyDescent="0.25">
      <c r="A53" s="72" t="s">
        <v>135</v>
      </c>
      <c r="B53" s="208" t="s">
        <v>324</v>
      </c>
      <c r="C53" s="209"/>
      <c r="D53" s="209"/>
      <c r="E53" s="209"/>
      <c r="F53" s="1"/>
      <c r="G53" s="1"/>
      <c r="H53" s="147" t="s">
        <v>325</v>
      </c>
    </row>
    <row r="54" spans="1:8" x14ac:dyDescent="0.25">
      <c r="A54" s="73" t="s">
        <v>2</v>
      </c>
      <c r="B54" s="74" t="s">
        <v>3</v>
      </c>
      <c r="C54" s="74" t="s">
        <v>4</v>
      </c>
      <c r="D54" s="74" t="s">
        <v>5</v>
      </c>
      <c r="E54" s="74" t="s">
        <v>6</v>
      </c>
      <c r="F54" s="74" t="s">
        <v>124</v>
      </c>
      <c r="G54" s="74" t="s">
        <v>125</v>
      </c>
      <c r="H54" s="74" t="s">
        <v>123</v>
      </c>
    </row>
    <row r="55" spans="1:8" x14ac:dyDescent="0.25">
      <c r="A55" s="79" t="s">
        <v>178</v>
      </c>
      <c r="B55" s="71">
        <f>IF('Résultat du test'!B5='Niveau 1'!N6,"6",IF('Résultat du test'!B5='Niveau 1'!N7,"8",IF('Résultat du test'!B5=N8,"4",IF('Résultat du test'!B5=N9,"6",IF('Résultat du test'!B5=N10,9,IF('Résultat du test'!B5=N11,12,IF('Résultat du test'!B5=N12,15,IF('Résultat du test'!B5=N13,19,IF('Résultat du test'!B5=N14,25,IF('Résultat du test'!B5=N15,26,IF('Résultat du test'!B5=N16,27,0)))))))))))</f>
        <v>0</v>
      </c>
      <c r="C55" s="65">
        <f>IF('Résultat du test'!B5='Niveau 1'!N6,"10",IF('Résultat du test'!B5='Niveau 1'!N7,"14",IF('Résultat du test'!B5=N8,"5",IF('Résultat du test'!B5=N9,"9",IF('Résultat du test'!B5=N10,11,IF('Résultat du test'!B5=N11,15,IF('Résultat du test'!B5=N12,20,IF('Résultat du test'!B5=N13,25,IF('Résultat du test'!B5=N14,29,IF('Résultat du test'!B5=N15,31,IF('Résultat du test'!B5=N16,32,0)))))))))))</f>
        <v>0</v>
      </c>
      <c r="D55" s="71">
        <f>IF('Résultat du test'!B5='Niveau 1'!N6,"8",IF('Résultat du test'!B5='Niveau 1'!N7,"11",IF('Résultat du test'!B5=N8,"4",IF('Résultat du test'!B5=N9,"6",IF('Résultat du test'!B5=N10,9,IF('Résultat du test'!B5=N11,11,IF('Résultat du test'!B5=N12,14,IF('Résultat du test'!B5=N13,18,IF('Résultat du test'!B5=N14,25,IF('Résultat du test'!B5=N15,26,IF('Résultat du test'!B5=N16,26,0)))))))))))</f>
        <v>0</v>
      </c>
      <c r="E55" s="71">
        <f>IF('Résultat du test'!B5='Niveau 1'!N6,"9",IF('Résultat du test'!B5='Niveau 1'!N7,"11",IF('Résultat du test'!B5=N8,"Max de répétitions et minimum 6",IF('Résultat du test'!B5=N9,"Max de répétitions et minimum 10",IF('Résultat du test'!B5=N10,"Max de répétitions et minimum 11",IF('Résultat du test'!B5=N11,"Max de répétitions et minimum 13",IF('Résultat du test'!B5=N12,"Max de répétitions et minimum 24",IF('Résultat du test'!B5=N13,"Max de répétitions et minimum 24",IF('Résultat du test'!B5=N14,"Max de répétitions et minimum 28",IF('Résultat du test'!B5=N15,"Max de répétitions et minimum 31",IF('Résultat du test'!B5=N16,"Max de répétitions et minimum 32",0)))))))))))</f>
        <v>0</v>
      </c>
      <c r="F55" s="66" t="s">
        <v>126</v>
      </c>
      <c r="G55" s="66" t="s">
        <v>127</v>
      </c>
      <c r="H55" s="75" t="str">
        <f>IF(OR('Résultat du test'!B5='Niveau 1'!N6,'Résultat du test'!B5='Niveau 1'!N7),"Toutes les répétitions en excentrique : voir vidéo","")</f>
        <v/>
      </c>
    </row>
    <row r="56" spans="1:8" x14ac:dyDescent="0.25">
      <c r="A56" s="79" t="s">
        <v>7</v>
      </c>
      <c r="B56" s="71">
        <f>IF('Résultat du test'!B4='Niveau 1'!M6,"5",IF('Résultat du test'!B4='Niveau 1'!M7,"12",IF('Résultat du test'!B4=M8,"14",IF('Résultat du test'!B4=M9,"23",IF('Résultat du test'!B4=M10,29,IF('Résultat du test'!B4=M11,10,IF('Résultat du test'!B4=M12,15,IF('Résultat du test'!B4=M13,19,IF('Résultat du test'!B4=M14,19,IF('Résultat du test'!B4=M15,20,IF('Résultat du test'!B4=M16,22,IF('Résultat du test'!B4=M17,22,0))))))))))))</f>
        <v>0</v>
      </c>
      <c r="C56" s="68">
        <f>IF('Résultat du test'!B4='Niveau 1'!M6,"7",IF('Résultat du test'!B4='Niveau 1'!M7,"13",IF('Résultat du test'!B4=M8,"16",IF('Résultat du test'!B4=M9,"28",IF('Résultat du test'!B4=M10,33,IF('Résultat du test'!B4=M11,13,IF('Résultat du test'!B4=M12,18,IF('Résultat du test'!B4=M13,22,IF('Résultat du test'!B4=M14,23,IF('Résultat du test'!B4=M15,23,IF('Résultat du test'!B4=M16,27,IF('Résultat du test'!B4=M17,30,0))))))))))))</f>
        <v>0</v>
      </c>
      <c r="D56" s="68">
        <f>IF('Résultat du test'!B4='Niveau 1'!M6,"5",IF('Résultat du test'!B4='Niveau 1'!M7,"10",IF('Résultat du test'!B4=M8,"13",IF('Résultat du test'!B4=M9,"22",IF('Résultat du test'!B4=M10,29,IF('Résultat du test'!B4=M11,15,IF('Résultat du test'!B4=M12,20,IF('Résultat du test'!B4=M13,24,IF('Résultat du test'!B4=M14,27,IF('Résultat du test'!B4=M15,30,IF('Résultat du test'!B4=M16,33,IF('Résultat du test'!B4=M17,35,0))))))))))))</f>
        <v>0</v>
      </c>
      <c r="E56" s="71">
        <f>IF('Résultat du test'!B4='Niveau 1'!M6,"Max de répétitions et minimum 7",IF('Résultat du test'!B4='Niveau 1'!M7,"Max de répétitions et minimum 15",IF('Résultat du test'!B4=M8,"Max de répétitions et minimum 19",IF('Résultat du test'!B4=M9,"Max de répétitions et minimum 25",IF('Résultat du test'!B4=M10,"Max de répétitions et minimum 33",IF('Résultat du test'!B4=M11,"Max de répétitions et minimum 25",IF('Résultat du test'!B4=M12,"Max de répétitions et minimum 30",IF('Résultat du test'!B4=M13,"Max de répétitions et minimum 35",IF('Résultat du test'!B4=M14,"Max de répétitions et minimum 37",IF('Résultat du test'!B4=M15,"Max de répétitions et minimum 53",IF('Résultat du test'!B4=M16,"Max de répétitions et minimum 58",IF('Résultat du test'!B4=M17,"Max de répétitions et minimum 59",0))))))))))))</f>
        <v>0</v>
      </c>
      <c r="F56" s="66" t="s">
        <v>126</v>
      </c>
      <c r="G56" s="66" t="s">
        <v>128</v>
      </c>
      <c r="H56" s="69"/>
    </row>
    <row r="57" spans="1:8" x14ac:dyDescent="0.25">
      <c r="A57" s="79" t="s">
        <v>302</v>
      </c>
      <c r="B57" s="71">
        <f>IF('Résultat du test'!B6='Niveau 1'!O6,"8",IF('Résultat du test'!B6='Niveau 1'!O7,"14",IF('Résultat du test'!B6=O8,"22",IF('Résultat du test'!B6=O9,"26",IF('Résultat du test'!B6=O10,30,IF('Résultat du test'!B6=O11,36,IF('Résultat du test'!B6=O12,42,IF('Résultat du test'!B6=O13,48,IF('Résultat du test'!B6=O14,52,IF('Résultat du test'!B6=O15,58,IF('Résultat du test'!B6=O16,44,IF('Résultat du test'!B6=O17,58,IF('Résultat du test'!B6=O18,60,IF('Résultat du test'!B6=O19,66,0))))))))))))))</f>
        <v>0</v>
      </c>
      <c r="C57" s="68">
        <f>IF('Résultat du test'!B6='Niveau 1'!O6,"8",IF('Résultat du test'!B6='Niveau 1'!O7,"12",IF('Résultat du test'!B6=O8,"22",IF('Résultat du test'!B6=O9,"26",IF('Résultat du test'!B6=O10,30,IF('Résultat du test'!B6=O11,36,IF('Résultat du test'!B6=O12,42,IF('Résultat du test'!B6=O13,48,IF('Résultat du test'!B6=O14,52,IF('Résultat du test'!B6=O15,58,IF('Résultat du test'!B6=O16,44,IF('Résultat du test'!B6=O17,58,IF('Résultat du test'!B6=O18,60,IF('Résultat du test'!B6=O19,66,0))))))))))))))</f>
        <v>0</v>
      </c>
      <c r="D57" s="71">
        <f>IF('Résultat du test'!B6='Niveau 1'!O6,"8",IF('Résultat du test'!B6='Niveau 1'!O7,"14",IF('Résultat du test'!B6=O8,"20",IF('Résultat du test'!B6=O9,"24",IF('Résultat du test'!B6=O10,28,IF('Résultat du test'!B6=O11,36,IF('Résultat du test'!B6=O12,40,IF('Résultat du test'!B6=O13,46,IF('Résultat du test'!B6=O14,54,IF('Résultat du test'!B6=O15,58,IF('Résultat du test'!B6=O16,52,IF('Résultat du test'!B6=O17,52,IF('Résultat du test'!B6=O18,60,IF('Résultat du test'!B6=O19,64,0))))))))))))))</f>
        <v>0</v>
      </c>
      <c r="E57" s="71">
        <f>IF('Résultat du test'!B6='Niveau 1'!O6,"Max de répétitions et minimum 10",IF('Résultat du test'!B6='Niveau 1'!O7,"Max de répétitions et minimum 15",IF('Résultat du test'!B6=O8,"Max de répétitions et minimum 24",IF('Résultat du test'!B6=O9,"Max de répétitions et minimum 28",IF('Résultat du test'!B6=O10,"Max de répétitions et minimum 32",IF('Résultat du test'!B6=O11,"Max de répétitions et minimum 38",IF('Résultat du test'!B6=O12,"Max de répétitions et minimum 46",IF('Résultat du test'!B6=O13,"Max de répétitions et minimum 50",IF('Résultat du test'!B6=O14,"Max de répétitions et minimum 60",IF('Résultat du test'!B6=O15,"Max de répétitions et minimum 62",IF('Résultat du test'!B6=O16,"Max de répétitions et minimum 56",IF('Résultat du test'!B6=O17,"Max de répétitions et minimum 60",IF('Résultat du test'!B6=O18,"Max de répétitions et minimum 64",IF('Résultat du test'!B6=O19,"Max de répétitions et minimum 68",0))))))))))))))</f>
        <v>0</v>
      </c>
      <c r="F57" s="66" t="s">
        <v>130</v>
      </c>
      <c r="G57" s="66" t="s">
        <v>128</v>
      </c>
      <c r="H57" s="67" t="s">
        <v>138</v>
      </c>
    </row>
    <row r="58" spans="1:8" x14ac:dyDescent="0.25">
      <c r="A58" s="79" t="s">
        <v>157</v>
      </c>
      <c r="B58" s="68">
        <f>IF('Résultat du test'!B8='Niveau 1'!N6,"5",IF('Résultat du test'!B8='Niveau 1'!N7,"5",IF('Résultat du test'!B8=N8,"4",IF('Résultat du test'!B8=N9,"6",IF('Résultat du test'!B8=N10,9,IF('Résultat du test'!B8=N11,12,IF('Résultat du test'!B8=N12,15,IF('Résultat du test'!B8=N13,19,IF('Résultat du test'!B8=N14,25,IF('Résultat du test'!B8=N15,26,IF('Résultat du test'!B8=N16,27,0)))))))))))</f>
        <v>0</v>
      </c>
      <c r="C58" s="68">
        <f>IF('Résultat du test'!B8='Niveau 1'!N6,"6",IF('Résultat du test'!B8='Niveau 1'!N7,"7",IF('Résultat du test'!B8=N8,"5",IF('Résultat du test'!B8=N9,"9",IF('Résultat du test'!B8=N10,11,IF('Résultat du test'!B8=N11,15,IF('Résultat du test'!B8=N12,20,IF('Résultat du test'!B8=N13,25,IF('Résultat du test'!B8=N14,29,IF('Résultat du test'!B8=N15,31,IF('Résultat du test'!B8=N16,32,0)))))))))))</f>
        <v>0</v>
      </c>
      <c r="D58" s="68">
        <f>IF('Résultat du test'!B8='Niveau 1'!N6,"Max de répétitions",IF('Résultat du test'!B8='Niveau 1'!N7,"Max de répétitions",IF('Résultat du test'!B8=N8,"Max de répétitions et minimum 6",IF('Résultat du test'!B8=N9,"Max de répétitions et minimum 10",IF('Résultat du test'!B8=N10,"Max de répétitions et minimum 11",IF('Résultat du test'!B8=N11,"Max de répétitions et minimum 13",IF('Résultat du test'!B8=N12,"Max de répétitions et minimum 24",IF('Résultat du test'!B8=N13,"Max de répétitions et minimum 24",IF('Résultat du test'!B8=N14,"Max de répétitions et minimum 28",IF('Résultat du test'!B8=N15,"Max de répétitions et minimum 31",IF('Résultat du test'!B8=N16,"Max de répétitions et minimum 32",0)))))))))))</f>
        <v>0</v>
      </c>
      <c r="E58" s="78"/>
      <c r="F58" s="66" t="s">
        <v>131</v>
      </c>
      <c r="G58" s="66" t="s">
        <v>131</v>
      </c>
      <c r="H58" s="67" t="s">
        <v>172</v>
      </c>
    </row>
    <row r="59" spans="1:8" x14ac:dyDescent="0.25">
      <c r="A59" s="79" t="s">
        <v>168</v>
      </c>
      <c r="B59" s="68">
        <f>IF('Résultat du test'!B7='Niveau 1'!N6,"5",IF('Résultat du test'!B7='Niveau 1'!N7,"5",IF('Résultat du test'!B7=N8,"4",IF('Résultat du test'!B7=N9,"6",IF('Résultat du test'!B7=N10,9,IF('Résultat du test'!B7=N11,12,IF('Résultat du test'!B7=N12,15,IF('Résultat du test'!B7=N13,19,IF('Résultat du test'!B7=N14,25,IF('Résultat du test'!B7=N15,26,IF('Résultat du test'!B7=N16,27,0)))))))))))</f>
        <v>0</v>
      </c>
      <c r="C59" s="68">
        <f>IF('Résultat du test'!B7='Niveau 1'!N6,"6",IF('Résultat du test'!B7='Niveau 1'!N7,"7",IF('Résultat du test'!B7=N8,"5",IF('Résultat du test'!B7=N9,"9",IF('Résultat du test'!B7=N10,11,IF('Résultat du test'!B7=N11,15,IF('Résultat du test'!B7=N12,20,IF('Résultat du test'!B7=N13,25,IF('Résultat du test'!B7=N14,29,IF('Résultat du test'!B7=N15,31,IF('Résultat du test'!B7=N16,32,0)))))))))))</f>
        <v>0</v>
      </c>
      <c r="D59" s="68">
        <f>IF('Résultat du test'!B7='Niveau 1'!N6,"Max de répétitions",IF('Résultat du test'!B7='Niveau 1'!N7,"Max de répétitions",IF('Résultat du test'!B7=N8,"Max de répétitions et minimum 6",IF('Résultat du test'!B7=N9,"Max de répétitions et minimum 10",IF('Résultat du test'!B7=N10,"Max de répétitions et minimum 11",IF('Résultat du test'!B7=N11,"Max de répétitions et minimum 13",IF('Résultat du test'!B7=N12,"Max de répétitions et minimum 24",IF('Résultat du test'!B7=N13,"Max de répétitions et minimum 24",IF('Résultat du test'!B7=N14,"Max de répétitions et minimum 28",IF('Résultat du test'!B7=N15,"Max de répétitions et minimum 31",IF('Résultat du test'!B7=N16,"Max de répétitions et minimum 32",0)))))))))))</f>
        <v>0</v>
      </c>
      <c r="E59" s="78"/>
      <c r="F59" s="66" t="s">
        <v>131</v>
      </c>
      <c r="G59" s="66" t="s">
        <v>131</v>
      </c>
      <c r="H59" s="67" t="s">
        <v>143</v>
      </c>
    </row>
    <row r="60" spans="1:8" x14ac:dyDescent="0.25">
      <c r="A60" s="79" t="s">
        <v>136</v>
      </c>
      <c r="B60" s="68">
        <f>IF('Résultat du test'!E5='Niveau 1'!N6,"4",IF('Résultat du test'!E5='Niveau 1'!N7,"5",IF('Résultat du test'!E5=N8,"3",IF('Résultat du test'!E5=N9,"5",IF('Résultat du test'!E5=N10,7,IF('Résultat du test'!E5=N11,9,IF('Résultat du test'!E5=N12,13,IF('Résultat du test'!E5=N13,17,IF('Résultat du test'!E5=N14,23,IF('Résultat du test'!E5=N15,25,IF('Résultat du test'!E5=N16,25,0)))))))))))</f>
        <v>0</v>
      </c>
      <c r="C60" s="68">
        <f>IF('Résultat du test'!E5='Niveau 1'!N6,"3",IF('Résultat du test'!E5='Niveau 1'!N7,"4",IF('Résultat du test'!E5=N8,"4",IF('Résultat du test'!E5=N9,"7",IF('Résultat du test'!E5=N10,10,IF('Résultat du test'!E5=N11,13,IF('Résultat du test'!E5=N12,16,IF('Résultat du test'!E5=N13,21,IF('Résultat du test'!E5=N14,26,IF('Résultat du test'!E5=N15,29,IF('Résultat du test'!E5=N16,30,0)))))))))))</f>
        <v>0</v>
      </c>
      <c r="D60" s="68">
        <f>IF('Résultat du test'!E5='Niveau 1'!N6,"Max de répétitions",IF('Résultat du test'!E5='Niveau 1'!N7,"Max de répétitions",IF('Résultat du test'!E5=N8,"Max de répétitions et minimum 4",IF('Résultat du test'!E5=N9,"Max de répétitions et minimum 6",IF('Résultat du test'!E5=N10,"Max de répétitions et minimum 9",IF('Résultat du test'!E5=N11,"Max de répétitions et minimum 12",IF('Résultat du test'!E5=N12,"Max de répétitions et minimum 16",IF('Résultat du test'!E5=N13,"Max de répétitions et minimum 20",IF('Résultat du test'!E5=N14,"Max de répétitions et minimum 25",IF('Résultat du test'!E5=N15,"Max de répétitions et minimum 29",IF('Résultat du test'!E5=N16,"Max de répétitions et minimum 29",0)))))))))))</f>
        <v>0</v>
      </c>
      <c r="E60" s="78"/>
      <c r="F60" s="66" t="s">
        <v>131</v>
      </c>
      <c r="G60" s="78"/>
      <c r="H60" s="76" t="s">
        <v>137</v>
      </c>
    </row>
    <row r="61" spans="1:8" x14ac:dyDescent="0.25">
      <c r="A61" s="214" t="s">
        <v>139</v>
      </c>
      <c r="B61" s="215"/>
      <c r="C61" s="215"/>
      <c r="D61" s="215"/>
      <c r="E61" s="215"/>
      <c r="F61" s="215"/>
      <c r="G61" s="215"/>
      <c r="H61" s="215"/>
    </row>
    <row r="62" spans="1:8" x14ac:dyDescent="0.25">
      <c r="A62" s="214" t="s">
        <v>140</v>
      </c>
      <c r="B62" s="215"/>
      <c r="C62" s="215"/>
      <c r="D62" s="215"/>
      <c r="E62" s="215"/>
      <c r="F62" s="215"/>
      <c r="G62" s="215"/>
      <c r="H62" s="215"/>
    </row>
    <row r="63" spans="1:8" x14ac:dyDescent="0.25">
      <c r="A63" s="212" t="s">
        <v>179</v>
      </c>
      <c r="B63" s="212"/>
      <c r="C63" s="212"/>
      <c r="D63" s="212"/>
      <c r="E63" s="212"/>
      <c r="F63" s="212"/>
      <c r="G63" s="212"/>
      <c r="H63" s="212"/>
    </row>
    <row r="64" spans="1:8" x14ac:dyDescent="0.25">
      <c r="A64" s="212" t="s">
        <v>163</v>
      </c>
      <c r="B64" s="212"/>
      <c r="C64" s="212"/>
      <c r="D64" s="212"/>
      <c r="E64" s="212"/>
      <c r="F64" s="212"/>
      <c r="G64" s="212"/>
      <c r="H64" s="212"/>
    </row>
    <row r="65" spans="1:17" x14ac:dyDescent="0.25">
      <c r="A65" s="1"/>
      <c r="B65" s="1"/>
      <c r="C65" s="1"/>
      <c r="D65" s="1"/>
      <c r="E65" s="1"/>
      <c r="F65" s="1"/>
      <c r="G65" s="1"/>
      <c r="H65" s="1"/>
    </row>
    <row r="66" spans="1:17" s="1" customFormat="1" x14ac:dyDescent="0.25">
      <c r="I66" s="8"/>
      <c r="K66" s="8"/>
      <c r="L66" s="8"/>
      <c r="M66" s="8"/>
      <c r="N66" s="8"/>
      <c r="O66" s="8"/>
      <c r="P66" s="8"/>
      <c r="Q66" s="8"/>
    </row>
    <row r="67" spans="1:17" s="1" customFormat="1" x14ac:dyDescent="0.25">
      <c r="I67" s="8"/>
      <c r="K67" s="8"/>
      <c r="L67" s="8"/>
      <c r="M67" s="8"/>
      <c r="N67" s="8"/>
      <c r="O67" s="8"/>
      <c r="P67" s="8"/>
      <c r="Q67" s="8"/>
    </row>
    <row r="68" spans="1:17" s="1" customFormat="1" x14ac:dyDescent="0.25">
      <c r="I68" s="8"/>
      <c r="K68" s="8"/>
      <c r="L68" s="8"/>
      <c r="M68" s="8"/>
      <c r="N68" s="8"/>
      <c r="O68" s="8"/>
      <c r="P68" s="8"/>
      <c r="Q68" s="8"/>
    </row>
    <row r="69" spans="1:17" s="1" customFormat="1" x14ac:dyDescent="0.25">
      <c r="I69" s="8"/>
      <c r="K69" s="8"/>
      <c r="L69" s="8"/>
      <c r="M69" s="8"/>
      <c r="N69" s="8"/>
      <c r="O69" s="8"/>
      <c r="P69" s="8"/>
      <c r="Q69" s="8"/>
    </row>
    <row r="70" spans="1:17" s="1" customFormat="1" x14ac:dyDescent="0.25">
      <c r="I70" s="8"/>
      <c r="K70" s="8"/>
      <c r="L70" s="8"/>
      <c r="M70" s="8"/>
      <c r="N70" s="8"/>
      <c r="O70" s="8"/>
      <c r="P70" s="8"/>
      <c r="Q70" s="8"/>
    </row>
    <row r="71" spans="1:17" s="1" customFormat="1" x14ac:dyDescent="0.25">
      <c r="I71" s="8"/>
      <c r="K71" s="8"/>
      <c r="L71" s="8"/>
      <c r="M71" s="8"/>
      <c r="N71" s="8"/>
      <c r="O71" s="8"/>
      <c r="P71" s="8"/>
      <c r="Q71" s="8"/>
    </row>
    <row r="72" spans="1:17" s="1" customFormat="1" x14ac:dyDescent="0.25">
      <c r="I72" s="8"/>
      <c r="K72" s="8"/>
      <c r="L72" s="8"/>
      <c r="M72" s="8"/>
      <c r="N72" s="8"/>
      <c r="O72" s="8"/>
      <c r="P72" s="8"/>
      <c r="Q72" s="8"/>
    </row>
    <row r="73" spans="1:17" s="1" customFormat="1" x14ac:dyDescent="0.25">
      <c r="I73" s="8"/>
      <c r="K73" s="8"/>
      <c r="L73" s="8"/>
      <c r="M73" s="8"/>
      <c r="N73" s="8"/>
      <c r="O73" s="8"/>
      <c r="P73" s="8"/>
      <c r="Q73" s="8"/>
    </row>
    <row r="74" spans="1:17" s="1" customFormat="1" x14ac:dyDescent="0.25">
      <c r="I74" s="8"/>
      <c r="K74" s="8"/>
      <c r="L74" s="8"/>
      <c r="M74" s="8"/>
      <c r="N74" s="8"/>
      <c r="O74" s="8"/>
      <c r="P74" s="8"/>
      <c r="Q74" s="8"/>
    </row>
    <row r="75" spans="1:17" s="1" customFormat="1" x14ac:dyDescent="0.25">
      <c r="I75" s="8"/>
      <c r="K75" s="8"/>
      <c r="L75" s="8"/>
      <c r="M75" s="8"/>
      <c r="N75" s="8"/>
      <c r="O75" s="8"/>
      <c r="P75" s="8"/>
      <c r="Q75" s="8"/>
    </row>
    <row r="76" spans="1:17" s="1" customFormat="1" x14ac:dyDescent="0.25">
      <c r="I76" s="8"/>
      <c r="K76" s="8"/>
      <c r="L76" s="8"/>
      <c r="M76" s="8"/>
      <c r="N76" s="8"/>
      <c r="O76" s="8"/>
      <c r="P76" s="8"/>
      <c r="Q76" s="8"/>
    </row>
    <row r="77" spans="1:17" s="1" customFormat="1" x14ac:dyDescent="0.25">
      <c r="I77" s="8"/>
      <c r="K77" s="8"/>
      <c r="L77" s="8"/>
      <c r="M77" s="8"/>
      <c r="N77" s="8"/>
      <c r="O77" s="8"/>
      <c r="P77" s="8"/>
      <c r="Q77" s="8"/>
    </row>
    <row r="78" spans="1:17" s="1" customFormat="1" x14ac:dyDescent="0.25">
      <c r="I78" s="8"/>
      <c r="K78" s="8"/>
      <c r="L78" s="8"/>
      <c r="M78" s="8"/>
      <c r="N78" s="8"/>
      <c r="O78" s="8"/>
      <c r="P78" s="8"/>
      <c r="Q78" s="8"/>
    </row>
    <row r="79" spans="1:17" s="1" customFormat="1" x14ac:dyDescent="0.25">
      <c r="I79" s="8"/>
      <c r="K79" s="8"/>
      <c r="L79" s="8"/>
      <c r="M79" s="8"/>
      <c r="N79" s="8"/>
      <c r="O79" s="8"/>
      <c r="P79" s="8"/>
      <c r="Q79" s="8"/>
    </row>
    <row r="80" spans="1:17" s="1" customFormat="1" x14ac:dyDescent="0.25">
      <c r="I80" s="8"/>
      <c r="K80" s="8"/>
      <c r="L80" s="8"/>
      <c r="M80" s="8"/>
      <c r="N80" s="8"/>
      <c r="O80" s="8"/>
      <c r="P80" s="8"/>
      <c r="Q80" s="8"/>
    </row>
    <row r="81" spans="9:17" s="1" customFormat="1" x14ac:dyDescent="0.25">
      <c r="I81" s="8"/>
      <c r="K81" s="8"/>
      <c r="L81" s="8"/>
      <c r="M81" s="8"/>
      <c r="N81" s="8"/>
      <c r="O81" s="8"/>
      <c r="P81" s="8"/>
      <c r="Q81" s="8"/>
    </row>
    <row r="82" spans="9:17" s="1" customFormat="1" x14ac:dyDescent="0.25">
      <c r="I82" s="8"/>
      <c r="K82" s="8"/>
      <c r="L82" s="8"/>
      <c r="M82" s="8"/>
      <c r="N82" s="8"/>
      <c r="O82" s="8"/>
      <c r="P82" s="8"/>
      <c r="Q82" s="8"/>
    </row>
    <row r="83" spans="9:17" s="1" customFormat="1" x14ac:dyDescent="0.25">
      <c r="I83" s="8"/>
      <c r="K83" s="8"/>
      <c r="L83" s="8"/>
      <c r="M83" s="8"/>
      <c r="N83" s="8"/>
      <c r="O83" s="8"/>
      <c r="P83" s="8"/>
      <c r="Q83" s="8"/>
    </row>
    <row r="84" spans="9:17" s="1" customFormat="1" x14ac:dyDescent="0.25">
      <c r="I84" s="8"/>
      <c r="K84" s="8"/>
      <c r="L84" s="8"/>
      <c r="M84" s="8"/>
      <c r="N84" s="8"/>
      <c r="O84" s="8"/>
      <c r="P84" s="8"/>
      <c r="Q84" s="8"/>
    </row>
    <row r="85" spans="9:17" s="1" customFormat="1" x14ac:dyDescent="0.25">
      <c r="I85" s="8"/>
      <c r="K85" s="8"/>
      <c r="L85" s="8"/>
      <c r="M85" s="8"/>
      <c r="N85" s="8"/>
      <c r="O85" s="8"/>
      <c r="P85" s="8"/>
      <c r="Q85" s="8"/>
    </row>
    <row r="86" spans="9:17" s="1" customFormat="1" x14ac:dyDescent="0.25">
      <c r="I86" s="8"/>
      <c r="K86" s="8"/>
      <c r="L86" s="8"/>
      <c r="M86" s="8"/>
      <c r="N86" s="8"/>
      <c r="O86" s="8"/>
      <c r="P86" s="8"/>
      <c r="Q86" s="8"/>
    </row>
    <row r="87" spans="9:17" s="1" customFormat="1" x14ac:dyDescent="0.25">
      <c r="I87" s="8"/>
      <c r="K87" s="8"/>
      <c r="L87" s="8"/>
      <c r="M87" s="8"/>
      <c r="N87" s="8"/>
      <c r="O87" s="8"/>
      <c r="P87" s="8"/>
      <c r="Q87" s="8"/>
    </row>
    <row r="88" spans="9:17" s="1" customFormat="1" x14ac:dyDescent="0.25">
      <c r="I88" s="8"/>
      <c r="K88" s="8"/>
      <c r="L88" s="8"/>
      <c r="M88" s="8"/>
      <c r="N88" s="8"/>
      <c r="O88" s="8"/>
      <c r="P88" s="8"/>
      <c r="Q88" s="8"/>
    </row>
    <row r="89" spans="9:17" s="1" customFormat="1" x14ac:dyDescent="0.25">
      <c r="I89" s="8"/>
      <c r="K89" s="8"/>
      <c r="L89" s="8"/>
      <c r="M89" s="8"/>
      <c r="N89" s="8"/>
      <c r="O89" s="8"/>
      <c r="P89" s="8"/>
      <c r="Q89" s="8"/>
    </row>
    <row r="90" spans="9:17" s="1" customFormat="1" x14ac:dyDescent="0.25">
      <c r="I90" s="8"/>
      <c r="K90" s="8"/>
      <c r="L90" s="8"/>
      <c r="M90" s="8"/>
      <c r="N90" s="8"/>
      <c r="O90" s="8"/>
      <c r="P90" s="8"/>
      <c r="Q90" s="8"/>
    </row>
    <row r="91" spans="9:17" s="1" customFormat="1" x14ac:dyDescent="0.25">
      <c r="I91" s="8"/>
      <c r="K91" s="8"/>
      <c r="L91" s="8"/>
      <c r="M91" s="8"/>
      <c r="N91" s="8"/>
      <c r="O91" s="8"/>
      <c r="P91" s="8"/>
      <c r="Q91" s="8"/>
    </row>
    <row r="92" spans="9:17" s="1" customFormat="1" x14ac:dyDescent="0.25">
      <c r="I92" s="8"/>
      <c r="K92" s="8"/>
      <c r="L92" s="8"/>
      <c r="M92" s="8"/>
      <c r="N92" s="8"/>
      <c r="O92" s="8"/>
      <c r="P92" s="8"/>
      <c r="Q92" s="8"/>
    </row>
    <row r="93" spans="9:17" s="1" customFormat="1" x14ac:dyDescent="0.25">
      <c r="I93" s="8"/>
      <c r="K93" s="8"/>
      <c r="L93" s="8"/>
      <c r="M93" s="8"/>
      <c r="N93" s="8"/>
      <c r="O93" s="8"/>
      <c r="P93" s="8"/>
      <c r="Q93" s="8"/>
    </row>
    <row r="94" spans="9:17" s="1" customFormat="1" x14ac:dyDescent="0.25">
      <c r="I94" s="8"/>
      <c r="K94" s="8"/>
      <c r="L94" s="8"/>
      <c r="M94" s="8"/>
      <c r="N94" s="8"/>
      <c r="O94" s="8"/>
      <c r="P94" s="8"/>
      <c r="Q94" s="8"/>
    </row>
    <row r="95" spans="9:17" s="1" customFormat="1" x14ac:dyDescent="0.25">
      <c r="I95" s="8"/>
      <c r="K95" s="8"/>
      <c r="L95" s="8"/>
      <c r="M95" s="8"/>
      <c r="N95" s="8"/>
      <c r="O95" s="8"/>
      <c r="P95" s="8"/>
      <c r="Q95" s="8"/>
    </row>
    <row r="96" spans="9:17" s="1" customFormat="1" x14ac:dyDescent="0.25">
      <c r="I96" s="8"/>
      <c r="K96" s="8"/>
      <c r="L96" s="8"/>
      <c r="M96" s="8"/>
      <c r="N96" s="8"/>
      <c r="O96" s="8"/>
      <c r="P96" s="8"/>
      <c r="Q96" s="8"/>
    </row>
    <row r="97" spans="9:17" s="1" customFormat="1" x14ac:dyDescent="0.25">
      <c r="I97" s="8"/>
      <c r="K97" s="8"/>
      <c r="L97" s="8"/>
      <c r="M97" s="8"/>
      <c r="N97" s="8"/>
      <c r="O97" s="8"/>
      <c r="P97" s="8"/>
      <c r="Q97" s="8"/>
    </row>
    <row r="98" spans="9:17" s="1" customFormat="1" x14ac:dyDescent="0.25">
      <c r="I98" s="8"/>
      <c r="K98" s="8"/>
      <c r="L98" s="8"/>
      <c r="M98" s="8"/>
      <c r="N98" s="8"/>
      <c r="O98" s="8"/>
      <c r="P98" s="8"/>
      <c r="Q98" s="8"/>
    </row>
    <row r="99" spans="9:17" s="1" customFormat="1" x14ac:dyDescent="0.25">
      <c r="I99" s="8"/>
      <c r="K99" s="8"/>
      <c r="L99" s="8"/>
      <c r="M99" s="8"/>
      <c r="N99" s="8"/>
      <c r="O99" s="8"/>
      <c r="P99" s="8"/>
      <c r="Q99" s="8"/>
    </row>
    <row r="100" spans="9:17" s="1" customFormat="1" x14ac:dyDescent="0.25">
      <c r="I100" s="8"/>
      <c r="K100" s="8"/>
      <c r="L100" s="8"/>
      <c r="M100" s="8"/>
      <c r="N100" s="8"/>
      <c r="O100" s="8"/>
      <c r="P100" s="8"/>
      <c r="Q100" s="8"/>
    </row>
    <row r="101" spans="9:17" s="1" customFormat="1" x14ac:dyDescent="0.25">
      <c r="I101" s="8"/>
      <c r="K101" s="8"/>
      <c r="L101" s="8"/>
      <c r="M101" s="8"/>
      <c r="N101" s="8"/>
      <c r="O101" s="8"/>
      <c r="P101" s="8"/>
      <c r="Q101" s="8"/>
    </row>
    <row r="102" spans="9:17" s="1" customFormat="1" x14ac:dyDescent="0.25">
      <c r="I102" s="8"/>
      <c r="K102" s="8"/>
      <c r="L102" s="8"/>
      <c r="M102" s="8"/>
      <c r="N102" s="8"/>
      <c r="O102" s="8"/>
      <c r="P102" s="8"/>
      <c r="Q102" s="8"/>
    </row>
    <row r="103" spans="9:17" s="1" customFormat="1" x14ac:dyDescent="0.25">
      <c r="I103" s="8"/>
      <c r="K103" s="8"/>
      <c r="L103" s="8"/>
      <c r="M103" s="8"/>
      <c r="N103" s="8"/>
      <c r="O103" s="8"/>
      <c r="P103" s="8"/>
      <c r="Q103" s="8"/>
    </row>
    <row r="104" spans="9:17" s="1" customFormat="1" x14ac:dyDescent="0.25">
      <c r="I104" s="8"/>
      <c r="K104" s="8"/>
      <c r="L104" s="8"/>
      <c r="M104" s="8"/>
      <c r="N104" s="8"/>
      <c r="O104" s="8"/>
      <c r="P104" s="8"/>
      <c r="Q104" s="8"/>
    </row>
    <row r="105" spans="9:17" s="1" customFormat="1" x14ac:dyDescent="0.25">
      <c r="I105" s="8"/>
      <c r="K105" s="8"/>
      <c r="L105" s="8"/>
      <c r="M105" s="8"/>
      <c r="N105" s="8"/>
      <c r="O105" s="8"/>
      <c r="P105" s="8"/>
      <c r="Q105" s="8"/>
    </row>
    <row r="106" spans="9:17" s="1" customFormat="1" x14ac:dyDescent="0.25">
      <c r="I106" s="8"/>
      <c r="K106" s="8"/>
      <c r="L106" s="8"/>
      <c r="M106" s="8"/>
      <c r="N106" s="8"/>
      <c r="O106" s="8"/>
      <c r="P106" s="8"/>
      <c r="Q106" s="8"/>
    </row>
    <row r="107" spans="9:17" s="1" customFormat="1" x14ac:dyDescent="0.25">
      <c r="I107" s="8"/>
      <c r="K107" s="8"/>
      <c r="L107" s="8"/>
      <c r="M107" s="8"/>
      <c r="N107" s="8"/>
      <c r="O107" s="8"/>
      <c r="P107" s="8"/>
      <c r="Q107" s="8"/>
    </row>
    <row r="108" spans="9:17" s="1" customFormat="1" x14ac:dyDescent="0.25">
      <c r="I108" s="8"/>
      <c r="K108" s="8"/>
      <c r="L108" s="8"/>
      <c r="M108" s="8"/>
      <c r="N108" s="8"/>
      <c r="O108" s="8"/>
      <c r="P108" s="8"/>
      <c r="Q108" s="8"/>
    </row>
    <row r="109" spans="9:17" s="1" customFormat="1" x14ac:dyDescent="0.25">
      <c r="I109" s="8"/>
      <c r="K109" s="8"/>
      <c r="L109" s="8"/>
      <c r="M109" s="8"/>
      <c r="N109" s="8"/>
      <c r="O109" s="8"/>
      <c r="P109" s="8"/>
      <c r="Q109" s="8"/>
    </row>
    <row r="110" spans="9:17" s="1" customFormat="1" x14ac:dyDescent="0.25">
      <c r="I110" s="8"/>
      <c r="K110" s="8"/>
      <c r="L110" s="8"/>
      <c r="M110" s="8"/>
      <c r="N110" s="8"/>
      <c r="O110" s="8"/>
      <c r="P110" s="8"/>
      <c r="Q110" s="8"/>
    </row>
    <row r="111" spans="9:17" s="1" customFormat="1" x14ac:dyDescent="0.25">
      <c r="I111" s="8"/>
      <c r="K111" s="8"/>
      <c r="L111" s="8"/>
      <c r="M111" s="8"/>
      <c r="N111" s="8"/>
      <c r="O111" s="8"/>
      <c r="P111" s="8"/>
      <c r="Q111" s="8"/>
    </row>
    <row r="112" spans="9:17" s="1" customFormat="1" x14ac:dyDescent="0.25">
      <c r="I112" s="8"/>
      <c r="K112" s="8"/>
      <c r="L112" s="8"/>
      <c r="M112" s="8"/>
      <c r="N112" s="8"/>
      <c r="O112" s="8"/>
      <c r="P112" s="8"/>
      <c r="Q112" s="8"/>
    </row>
    <row r="113" spans="9:17" s="1" customFormat="1" x14ac:dyDescent="0.25">
      <c r="I113" s="8"/>
      <c r="K113" s="8"/>
      <c r="L113" s="8"/>
      <c r="M113" s="8"/>
      <c r="N113" s="8"/>
      <c r="O113" s="8"/>
      <c r="P113" s="8"/>
      <c r="Q113" s="8"/>
    </row>
    <row r="114" spans="9:17" s="1" customFormat="1" x14ac:dyDescent="0.25">
      <c r="I114" s="8"/>
      <c r="K114" s="8"/>
      <c r="L114" s="8"/>
      <c r="M114" s="8"/>
      <c r="N114" s="8"/>
      <c r="O114" s="8"/>
      <c r="P114" s="8"/>
      <c r="Q114" s="8"/>
    </row>
    <row r="115" spans="9:17" s="1" customFormat="1" x14ac:dyDescent="0.25">
      <c r="I115" s="8"/>
      <c r="K115" s="8"/>
      <c r="L115" s="8"/>
      <c r="M115" s="8"/>
      <c r="N115" s="8"/>
      <c r="O115" s="8"/>
      <c r="P115" s="8"/>
      <c r="Q115" s="8"/>
    </row>
    <row r="116" spans="9:17" s="1" customFormat="1" x14ac:dyDescent="0.25">
      <c r="I116" s="8"/>
      <c r="K116" s="8"/>
      <c r="L116" s="8"/>
      <c r="M116" s="8"/>
      <c r="N116" s="8"/>
      <c r="O116" s="8"/>
      <c r="P116" s="8"/>
      <c r="Q116" s="8"/>
    </row>
    <row r="117" spans="9:17" s="1" customFormat="1" x14ac:dyDescent="0.25">
      <c r="I117" s="8"/>
      <c r="K117" s="8"/>
      <c r="L117" s="8"/>
      <c r="M117" s="8"/>
      <c r="N117" s="8"/>
      <c r="O117" s="8"/>
      <c r="P117" s="8"/>
      <c r="Q117" s="8"/>
    </row>
    <row r="118" spans="9:17" s="1" customFormat="1" x14ac:dyDescent="0.25">
      <c r="I118" s="8"/>
      <c r="K118" s="8"/>
      <c r="L118" s="8"/>
      <c r="M118" s="8"/>
      <c r="N118" s="8"/>
      <c r="O118" s="8"/>
      <c r="P118" s="8"/>
      <c r="Q118" s="8"/>
    </row>
    <row r="119" spans="9:17" s="1" customFormat="1" x14ac:dyDescent="0.25">
      <c r="I119" s="8"/>
      <c r="K119" s="8"/>
      <c r="L119" s="8"/>
      <c r="M119" s="8"/>
      <c r="N119" s="8"/>
      <c r="O119" s="8"/>
      <c r="P119" s="8"/>
      <c r="Q119" s="8"/>
    </row>
    <row r="120" spans="9:17" s="1" customFormat="1" x14ac:dyDescent="0.25">
      <c r="I120" s="8"/>
      <c r="K120" s="8"/>
      <c r="L120" s="8"/>
      <c r="M120" s="8"/>
      <c r="N120" s="8"/>
      <c r="O120" s="8"/>
      <c r="P120" s="8"/>
      <c r="Q120" s="8"/>
    </row>
    <row r="121" spans="9:17" s="1" customFormat="1" x14ac:dyDescent="0.25">
      <c r="I121" s="8"/>
      <c r="K121" s="8"/>
      <c r="L121" s="8"/>
      <c r="M121" s="8"/>
      <c r="N121" s="8"/>
      <c r="O121" s="8"/>
      <c r="P121" s="8"/>
      <c r="Q121" s="8"/>
    </row>
    <row r="122" spans="9:17" s="1" customFormat="1" x14ac:dyDescent="0.25">
      <c r="I122" s="8"/>
      <c r="K122" s="8"/>
      <c r="L122" s="8"/>
      <c r="M122" s="8"/>
      <c r="N122" s="8"/>
      <c r="O122" s="8"/>
      <c r="P122" s="8"/>
      <c r="Q122" s="8"/>
    </row>
    <row r="123" spans="9:17" s="1" customFormat="1" x14ac:dyDescent="0.25">
      <c r="I123" s="8"/>
      <c r="K123" s="8"/>
      <c r="L123" s="8"/>
      <c r="M123" s="8"/>
      <c r="N123" s="8"/>
      <c r="O123" s="8"/>
      <c r="P123" s="8"/>
      <c r="Q123" s="8"/>
    </row>
    <row r="124" spans="9:17" s="1" customFormat="1" x14ac:dyDescent="0.25">
      <c r="I124" s="8"/>
      <c r="K124" s="8"/>
      <c r="L124" s="8"/>
      <c r="M124" s="8"/>
      <c r="N124" s="8"/>
      <c r="O124" s="8"/>
      <c r="P124" s="8"/>
      <c r="Q124" s="8"/>
    </row>
    <row r="125" spans="9:17" s="1" customFormat="1" x14ac:dyDescent="0.25">
      <c r="I125" s="8"/>
      <c r="K125" s="8"/>
      <c r="L125" s="8"/>
      <c r="M125" s="8"/>
      <c r="N125" s="8"/>
      <c r="O125" s="8"/>
      <c r="P125" s="8"/>
      <c r="Q125" s="8"/>
    </row>
    <row r="126" spans="9:17" s="1" customFormat="1" x14ac:dyDescent="0.25">
      <c r="I126" s="8"/>
      <c r="K126" s="8"/>
      <c r="L126" s="8"/>
      <c r="M126" s="8"/>
      <c r="N126" s="8"/>
      <c r="O126" s="8"/>
      <c r="P126" s="8"/>
      <c r="Q126" s="8"/>
    </row>
    <row r="127" spans="9:17" s="1" customFormat="1" x14ac:dyDescent="0.25">
      <c r="I127" s="8"/>
      <c r="K127" s="8"/>
      <c r="L127" s="8"/>
      <c r="M127" s="8"/>
      <c r="N127" s="8"/>
      <c r="O127" s="8"/>
      <c r="P127" s="8"/>
      <c r="Q127" s="8"/>
    </row>
    <row r="128" spans="9:17" s="1" customFormat="1" x14ac:dyDescent="0.25">
      <c r="I128" s="8"/>
      <c r="K128" s="8"/>
      <c r="L128" s="8"/>
      <c r="M128" s="8"/>
      <c r="N128" s="8"/>
      <c r="O128" s="8"/>
      <c r="P128" s="8"/>
      <c r="Q128" s="8"/>
    </row>
    <row r="129" spans="9:17" s="1" customFormat="1" x14ac:dyDescent="0.25">
      <c r="I129" s="8"/>
      <c r="K129" s="8"/>
      <c r="L129" s="8"/>
      <c r="M129" s="8"/>
      <c r="N129" s="8"/>
      <c r="O129" s="8"/>
      <c r="P129" s="8"/>
      <c r="Q129" s="8"/>
    </row>
    <row r="130" spans="9:17" s="1" customFormat="1" x14ac:dyDescent="0.25">
      <c r="I130" s="8"/>
      <c r="K130" s="8"/>
      <c r="L130" s="8"/>
      <c r="M130" s="8"/>
      <c r="N130" s="8"/>
      <c r="O130" s="8"/>
      <c r="P130" s="8"/>
      <c r="Q130" s="8"/>
    </row>
    <row r="131" spans="9:17" s="1" customFormat="1" x14ac:dyDescent="0.25">
      <c r="I131" s="8"/>
      <c r="K131" s="8"/>
      <c r="L131" s="8"/>
      <c r="M131" s="8"/>
      <c r="N131" s="8"/>
      <c r="O131" s="8"/>
      <c r="P131" s="8"/>
      <c r="Q131" s="8"/>
    </row>
    <row r="132" spans="9:17" s="1" customFormat="1" x14ac:dyDescent="0.25">
      <c r="I132" s="8"/>
      <c r="K132" s="8"/>
      <c r="L132" s="8"/>
      <c r="M132" s="8"/>
      <c r="N132" s="8"/>
      <c r="O132" s="8"/>
      <c r="P132" s="8"/>
      <c r="Q132" s="8"/>
    </row>
    <row r="133" spans="9:17" s="1" customFormat="1" x14ac:dyDescent="0.25">
      <c r="I133" s="8"/>
      <c r="K133" s="8"/>
      <c r="L133" s="8"/>
      <c r="M133" s="8"/>
      <c r="N133" s="8"/>
      <c r="O133" s="8"/>
      <c r="P133" s="8"/>
      <c r="Q133" s="8"/>
    </row>
    <row r="134" spans="9:17" s="1" customFormat="1" x14ac:dyDescent="0.25">
      <c r="I134" s="8"/>
      <c r="K134" s="8"/>
      <c r="L134" s="8"/>
      <c r="M134" s="8"/>
      <c r="N134" s="8"/>
      <c r="O134" s="8"/>
      <c r="P134" s="8"/>
      <c r="Q134" s="8"/>
    </row>
    <row r="135" spans="9:17" s="1" customFormat="1" x14ac:dyDescent="0.25">
      <c r="I135" s="8"/>
      <c r="K135" s="8"/>
      <c r="L135" s="8"/>
      <c r="M135" s="8"/>
      <c r="N135" s="8"/>
      <c r="O135" s="8"/>
      <c r="P135" s="8"/>
      <c r="Q135" s="8"/>
    </row>
    <row r="136" spans="9:17" s="1" customFormat="1" x14ac:dyDescent="0.25">
      <c r="I136" s="8"/>
      <c r="K136" s="8"/>
      <c r="L136" s="8"/>
      <c r="M136" s="8"/>
      <c r="N136" s="8"/>
      <c r="O136" s="8"/>
      <c r="P136" s="8"/>
      <c r="Q136" s="8"/>
    </row>
    <row r="137" spans="9:17" s="1" customFormat="1" x14ac:dyDescent="0.25">
      <c r="I137" s="8"/>
      <c r="K137" s="8"/>
      <c r="L137" s="8"/>
      <c r="M137" s="8"/>
      <c r="N137" s="8"/>
      <c r="O137" s="8"/>
      <c r="P137" s="8"/>
      <c r="Q137" s="8"/>
    </row>
    <row r="138" spans="9:17" s="1" customFormat="1" x14ac:dyDescent="0.25">
      <c r="I138" s="8"/>
      <c r="K138" s="8"/>
      <c r="L138" s="8"/>
      <c r="M138" s="8"/>
      <c r="N138" s="8"/>
      <c r="O138" s="8"/>
      <c r="P138" s="8"/>
      <c r="Q138" s="8"/>
    </row>
    <row r="139" spans="9:17" s="1" customFormat="1" x14ac:dyDescent="0.25">
      <c r="I139" s="8"/>
      <c r="K139" s="8"/>
      <c r="L139" s="8"/>
      <c r="M139" s="8"/>
      <c r="N139" s="8"/>
      <c r="O139" s="8"/>
      <c r="P139" s="8"/>
      <c r="Q139" s="8"/>
    </row>
    <row r="140" spans="9:17" s="1" customFormat="1" x14ac:dyDescent="0.25">
      <c r="I140" s="8"/>
      <c r="K140" s="8"/>
      <c r="L140" s="8"/>
      <c r="M140" s="8"/>
      <c r="N140" s="8"/>
      <c r="O140" s="8"/>
      <c r="P140" s="8"/>
      <c r="Q140" s="8"/>
    </row>
    <row r="141" spans="9:17" s="1" customFormat="1" x14ac:dyDescent="0.25">
      <c r="I141" s="8"/>
      <c r="K141" s="8"/>
      <c r="L141" s="8"/>
      <c r="M141" s="8"/>
      <c r="N141" s="8"/>
      <c r="O141" s="8"/>
      <c r="P141" s="8"/>
      <c r="Q141" s="8"/>
    </row>
    <row r="142" spans="9:17" s="1" customFormat="1" x14ac:dyDescent="0.25">
      <c r="I142" s="8"/>
      <c r="K142" s="8"/>
      <c r="L142" s="8"/>
      <c r="M142" s="8"/>
      <c r="N142" s="8"/>
      <c r="O142" s="8"/>
      <c r="P142" s="8"/>
      <c r="Q142" s="8"/>
    </row>
    <row r="143" spans="9:17" s="1" customFormat="1" x14ac:dyDescent="0.25">
      <c r="I143" s="8"/>
      <c r="K143" s="8"/>
      <c r="L143" s="8"/>
      <c r="M143" s="8"/>
      <c r="N143" s="8"/>
      <c r="O143" s="8"/>
      <c r="P143" s="8"/>
      <c r="Q143" s="8"/>
    </row>
    <row r="144" spans="9:17" s="1" customFormat="1" x14ac:dyDescent="0.25">
      <c r="I144" s="8"/>
      <c r="K144" s="8"/>
      <c r="L144" s="8"/>
      <c r="M144" s="8"/>
      <c r="N144" s="8"/>
      <c r="O144" s="8"/>
      <c r="P144" s="8"/>
      <c r="Q144" s="8"/>
    </row>
    <row r="145" spans="9:17" s="1" customFormat="1" x14ac:dyDescent="0.25">
      <c r="I145" s="8"/>
      <c r="K145" s="8"/>
      <c r="L145" s="8"/>
      <c r="M145" s="8"/>
      <c r="N145" s="8"/>
      <c r="O145" s="8"/>
      <c r="P145" s="8"/>
      <c r="Q145" s="8"/>
    </row>
    <row r="146" spans="9:17" s="1" customFormat="1" x14ac:dyDescent="0.25">
      <c r="I146" s="8"/>
      <c r="K146" s="8"/>
      <c r="L146" s="8"/>
      <c r="M146" s="8"/>
      <c r="N146" s="8"/>
      <c r="O146" s="8"/>
      <c r="P146" s="8"/>
      <c r="Q146" s="8"/>
    </row>
    <row r="147" spans="9:17" s="1" customFormat="1" x14ac:dyDescent="0.25">
      <c r="I147" s="8"/>
      <c r="K147" s="8"/>
      <c r="L147" s="8"/>
      <c r="M147" s="8"/>
      <c r="N147" s="8"/>
      <c r="O147" s="8"/>
      <c r="P147" s="8"/>
      <c r="Q147" s="8"/>
    </row>
    <row r="148" spans="9:17" s="1" customFormat="1" x14ac:dyDescent="0.25">
      <c r="I148" s="8"/>
      <c r="K148" s="8"/>
      <c r="L148" s="8"/>
      <c r="M148" s="8"/>
      <c r="N148" s="8"/>
      <c r="O148" s="8"/>
      <c r="P148" s="8"/>
      <c r="Q148" s="8"/>
    </row>
    <row r="149" spans="9:17" s="1" customFormat="1" x14ac:dyDescent="0.25">
      <c r="I149" s="8"/>
      <c r="K149" s="8"/>
      <c r="L149" s="8"/>
      <c r="M149" s="8"/>
      <c r="N149" s="8"/>
      <c r="O149" s="8"/>
      <c r="P149" s="8"/>
      <c r="Q149" s="8"/>
    </row>
    <row r="150" spans="9:17" s="1" customFormat="1" x14ac:dyDescent="0.25">
      <c r="I150" s="8"/>
      <c r="K150" s="8"/>
      <c r="L150" s="8"/>
      <c r="M150" s="8"/>
      <c r="N150" s="8"/>
      <c r="O150" s="8"/>
      <c r="P150" s="8"/>
      <c r="Q150" s="8"/>
    </row>
    <row r="151" spans="9:17" s="1" customFormat="1" x14ac:dyDescent="0.25">
      <c r="I151" s="8"/>
      <c r="K151" s="8"/>
      <c r="L151" s="8"/>
      <c r="M151" s="8"/>
      <c r="N151" s="8"/>
      <c r="O151" s="8"/>
      <c r="P151" s="8"/>
      <c r="Q151" s="8"/>
    </row>
    <row r="152" spans="9:17" s="1" customFormat="1" x14ac:dyDescent="0.25">
      <c r="I152" s="8"/>
      <c r="K152" s="8"/>
      <c r="L152" s="8"/>
      <c r="M152" s="8"/>
      <c r="N152" s="8"/>
      <c r="O152" s="8"/>
      <c r="P152" s="8"/>
      <c r="Q152" s="8"/>
    </row>
    <row r="153" spans="9:17" s="1" customFormat="1" x14ac:dyDescent="0.25">
      <c r="I153" s="8"/>
      <c r="K153" s="8"/>
      <c r="L153" s="8"/>
      <c r="M153" s="8"/>
      <c r="N153" s="8"/>
      <c r="O153" s="8"/>
      <c r="P153" s="8"/>
      <c r="Q153" s="8"/>
    </row>
    <row r="154" spans="9:17" s="1" customFormat="1" x14ac:dyDescent="0.25">
      <c r="I154" s="8"/>
      <c r="K154" s="8"/>
      <c r="L154" s="8"/>
      <c r="M154" s="8"/>
      <c r="N154" s="8"/>
      <c r="O154" s="8"/>
      <c r="P154" s="8"/>
      <c r="Q154" s="8"/>
    </row>
    <row r="155" spans="9:17" s="1" customFormat="1" x14ac:dyDescent="0.25">
      <c r="I155" s="8"/>
      <c r="K155" s="8"/>
      <c r="L155" s="8"/>
      <c r="M155" s="8"/>
      <c r="N155" s="8"/>
      <c r="O155" s="8"/>
      <c r="P155" s="8"/>
      <c r="Q155" s="8"/>
    </row>
    <row r="156" spans="9:17" s="1" customFormat="1" x14ac:dyDescent="0.25">
      <c r="I156" s="8"/>
      <c r="K156" s="8"/>
      <c r="L156" s="8"/>
      <c r="M156" s="8"/>
      <c r="N156" s="8"/>
      <c r="O156" s="8"/>
      <c r="P156" s="8"/>
      <c r="Q156" s="8"/>
    </row>
    <row r="157" spans="9:17" s="1" customFormat="1" x14ac:dyDescent="0.25">
      <c r="I157" s="8"/>
      <c r="K157" s="8"/>
      <c r="L157" s="8"/>
      <c r="M157" s="8"/>
      <c r="N157" s="8"/>
      <c r="O157" s="8"/>
      <c r="P157" s="8"/>
      <c r="Q157" s="8"/>
    </row>
    <row r="158" spans="9:17" s="1" customFormat="1" x14ac:dyDescent="0.25">
      <c r="I158" s="8"/>
      <c r="K158" s="8"/>
      <c r="L158" s="8"/>
      <c r="M158" s="8"/>
      <c r="N158" s="8"/>
      <c r="O158" s="8"/>
      <c r="P158" s="8"/>
      <c r="Q158" s="8"/>
    </row>
    <row r="159" spans="9:17" s="1" customFormat="1" x14ac:dyDescent="0.25">
      <c r="I159" s="8"/>
      <c r="K159" s="8"/>
      <c r="L159" s="8"/>
      <c r="M159" s="8"/>
      <c r="N159" s="8"/>
      <c r="O159" s="8"/>
      <c r="P159" s="8"/>
      <c r="Q159" s="8"/>
    </row>
    <row r="160" spans="9:17" s="1" customFormat="1" x14ac:dyDescent="0.25">
      <c r="I160" s="8"/>
      <c r="K160" s="8"/>
      <c r="L160" s="8"/>
      <c r="M160" s="8"/>
      <c r="N160" s="8"/>
      <c r="O160" s="8"/>
      <c r="P160" s="8"/>
      <c r="Q160" s="8"/>
    </row>
    <row r="161" spans="9:17" s="1" customFormat="1" x14ac:dyDescent="0.25">
      <c r="I161" s="8"/>
      <c r="K161" s="8"/>
      <c r="L161" s="8"/>
      <c r="M161" s="8"/>
      <c r="N161" s="8"/>
      <c r="O161" s="8"/>
      <c r="P161" s="8"/>
      <c r="Q161" s="8"/>
    </row>
    <row r="162" spans="9:17" s="1" customFormat="1" x14ac:dyDescent="0.25">
      <c r="I162" s="8"/>
      <c r="K162" s="8"/>
      <c r="L162" s="8"/>
      <c r="M162" s="8"/>
      <c r="N162" s="8"/>
      <c r="O162" s="8"/>
      <c r="P162" s="8"/>
      <c r="Q162" s="8"/>
    </row>
    <row r="163" spans="9:17" s="1" customFormat="1" x14ac:dyDescent="0.25">
      <c r="I163" s="8"/>
      <c r="K163" s="8"/>
      <c r="L163" s="8"/>
      <c r="M163" s="8"/>
      <c r="N163" s="8"/>
      <c r="O163" s="8"/>
      <c r="P163" s="8"/>
      <c r="Q163" s="8"/>
    </row>
    <row r="164" spans="9:17" s="1" customFormat="1" x14ac:dyDescent="0.25">
      <c r="I164" s="8"/>
      <c r="K164" s="8"/>
      <c r="L164" s="8"/>
      <c r="M164" s="8"/>
      <c r="N164" s="8"/>
      <c r="O164" s="8"/>
      <c r="P164" s="8"/>
      <c r="Q164" s="8"/>
    </row>
    <row r="165" spans="9:17" s="1" customFormat="1" x14ac:dyDescent="0.25">
      <c r="I165" s="8"/>
      <c r="K165" s="8"/>
      <c r="L165" s="8"/>
      <c r="M165" s="8"/>
      <c r="N165" s="8"/>
      <c r="O165" s="8"/>
      <c r="P165" s="8"/>
      <c r="Q165" s="8"/>
    </row>
    <row r="166" spans="9:17" s="1" customFormat="1" x14ac:dyDescent="0.25">
      <c r="I166" s="8"/>
      <c r="K166" s="8"/>
      <c r="L166" s="8"/>
      <c r="M166" s="8"/>
      <c r="N166" s="8"/>
      <c r="O166" s="8"/>
      <c r="P166" s="8"/>
      <c r="Q166" s="8"/>
    </row>
    <row r="167" spans="9:17" s="1" customFormat="1" x14ac:dyDescent="0.25">
      <c r="I167" s="8"/>
      <c r="K167" s="8"/>
      <c r="L167" s="8"/>
      <c r="M167" s="8"/>
      <c r="N167" s="8"/>
      <c r="O167" s="8"/>
      <c r="P167" s="8"/>
      <c r="Q167" s="8"/>
    </row>
    <row r="168" spans="9:17" s="1" customFormat="1" x14ac:dyDescent="0.25">
      <c r="I168" s="8"/>
      <c r="K168" s="8"/>
      <c r="L168" s="8"/>
      <c r="M168" s="8"/>
      <c r="N168" s="8"/>
      <c r="O168" s="8"/>
      <c r="P168" s="8"/>
      <c r="Q168" s="8"/>
    </row>
    <row r="169" spans="9:17" s="1" customFormat="1" x14ac:dyDescent="0.25">
      <c r="I169" s="8"/>
      <c r="K169" s="8"/>
      <c r="L169" s="8"/>
      <c r="M169" s="8"/>
      <c r="N169" s="8"/>
      <c r="O169" s="8"/>
      <c r="P169" s="8"/>
      <c r="Q169" s="8"/>
    </row>
    <row r="170" spans="9:17" s="1" customFormat="1" x14ac:dyDescent="0.25">
      <c r="I170" s="8"/>
      <c r="K170" s="8"/>
      <c r="L170" s="8"/>
      <c r="M170" s="8"/>
      <c r="N170" s="8"/>
      <c r="O170" s="8"/>
      <c r="P170" s="8"/>
      <c r="Q170" s="8"/>
    </row>
    <row r="171" spans="9:17" s="1" customFormat="1" x14ac:dyDescent="0.25">
      <c r="I171" s="8"/>
      <c r="K171" s="8"/>
      <c r="L171" s="8"/>
      <c r="M171" s="8"/>
      <c r="N171" s="8"/>
      <c r="O171" s="8"/>
      <c r="P171" s="8"/>
      <c r="Q171" s="8"/>
    </row>
    <row r="172" spans="9:17" s="1" customFormat="1" x14ac:dyDescent="0.25">
      <c r="I172" s="8"/>
      <c r="K172" s="8"/>
      <c r="L172" s="8"/>
      <c r="M172" s="8"/>
      <c r="N172" s="8"/>
      <c r="O172" s="8"/>
      <c r="P172" s="8"/>
      <c r="Q172" s="8"/>
    </row>
    <row r="173" spans="9:17" s="1" customFormat="1" x14ac:dyDescent="0.25">
      <c r="I173" s="8"/>
      <c r="K173" s="8"/>
      <c r="L173" s="8"/>
      <c r="M173" s="8"/>
      <c r="N173" s="8"/>
      <c r="O173" s="8"/>
      <c r="P173" s="8"/>
      <c r="Q173" s="8"/>
    </row>
    <row r="174" spans="9:17" s="1" customFormat="1" x14ac:dyDescent="0.25">
      <c r="I174" s="8"/>
      <c r="K174" s="8"/>
      <c r="L174" s="8"/>
      <c r="M174" s="8"/>
      <c r="N174" s="8"/>
      <c r="O174" s="8"/>
      <c r="P174" s="8"/>
      <c r="Q174" s="8"/>
    </row>
    <row r="175" spans="9:17" s="1" customFormat="1" x14ac:dyDescent="0.25">
      <c r="I175" s="8"/>
      <c r="K175" s="8"/>
      <c r="L175" s="8"/>
      <c r="M175" s="8"/>
      <c r="N175" s="8"/>
      <c r="O175" s="8"/>
      <c r="P175" s="8"/>
      <c r="Q175" s="8"/>
    </row>
    <row r="176" spans="9:17" s="1" customFormat="1" x14ac:dyDescent="0.25">
      <c r="I176" s="8"/>
      <c r="K176" s="8"/>
      <c r="L176" s="8"/>
      <c r="M176" s="8"/>
      <c r="N176" s="8"/>
      <c r="O176" s="8"/>
      <c r="P176" s="8"/>
      <c r="Q176" s="8"/>
    </row>
    <row r="177" spans="9:17" s="1" customFormat="1" x14ac:dyDescent="0.25">
      <c r="I177" s="8"/>
      <c r="K177" s="8"/>
      <c r="L177" s="8"/>
      <c r="M177" s="8"/>
      <c r="N177" s="8"/>
      <c r="O177" s="8"/>
      <c r="P177" s="8"/>
      <c r="Q177" s="8"/>
    </row>
    <row r="178" spans="9:17" s="1" customFormat="1" x14ac:dyDescent="0.25">
      <c r="I178" s="8"/>
      <c r="K178" s="8"/>
      <c r="L178" s="8"/>
      <c r="M178" s="8"/>
      <c r="N178" s="8"/>
      <c r="O178" s="8"/>
      <c r="P178" s="8"/>
      <c r="Q178" s="8"/>
    </row>
    <row r="179" spans="9:17" s="1" customFormat="1" x14ac:dyDescent="0.25">
      <c r="I179" s="8"/>
      <c r="K179" s="8"/>
      <c r="L179" s="8"/>
      <c r="M179" s="8"/>
      <c r="N179" s="8"/>
      <c r="O179" s="8"/>
      <c r="P179" s="8"/>
      <c r="Q179" s="8"/>
    </row>
    <row r="180" spans="9:17" s="1" customFormat="1" x14ac:dyDescent="0.25">
      <c r="I180" s="8"/>
      <c r="K180" s="8"/>
      <c r="L180" s="8"/>
      <c r="M180" s="8"/>
      <c r="N180" s="8"/>
      <c r="O180" s="8"/>
      <c r="P180" s="8"/>
      <c r="Q180" s="8"/>
    </row>
    <row r="181" spans="9:17" s="1" customFormat="1" x14ac:dyDescent="0.25">
      <c r="I181" s="8"/>
      <c r="K181" s="8"/>
      <c r="L181" s="8"/>
      <c r="M181" s="8"/>
      <c r="N181" s="8"/>
      <c r="O181" s="8"/>
      <c r="P181" s="8"/>
      <c r="Q181" s="8"/>
    </row>
    <row r="182" spans="9:17" s="1" customFormat="1" x14ac:dyDescent="0.25">
      <c r="I182" s="8"/>
      <c r="K182" s="8"/>
      <c r="L182" s="8"/>
      <c r="M182" s="8"/>
      <c r="N182" s="8"/>
      <c r="O182" s="8"/>
      <c r="P182" s="8"/>
      <c r="Q182" s="8"/>
    </row>
    <row r="183" spans="9:17" s="1" customFormat="1" x14ac:dyDescent="0.25">
      <c r="I183" s="8"/>
      <c r="K183" s="8"/>
      <c r="L183" s="8"/>
      <c r="M183" s="8"/>
      <c r="N183" s="8"/>
      <c r="O183" s="8"/>
      <c r="P183" s="8"/>
      <c r="Q183" s="8"/>
    </row>
    <row r="184" spans="9:17" s="1" customFormat="1" x14ac:dyDescent="0.25">
      <c r="I184" s="8"/>
      <c r="K184" s="8"/>
      <c r="L184" s="8"/>
      <c r="M184" s="8"/>
      <c r="N184" s="8"/>
      <c r="O184" s="8"/>
      <c r="P184" s="8"/>
      <c r="Q184" s="8"/>
    </row>
    <row r="185" spans="9:17" s="1" customFormat="1" x14ac:dyDescent="0.25">
      <c r="I185" s="8"/>
      <c r="K185" s="8"/>
      <c r="L185" s="8"/>
      <c r="M185" s="8"/>
      <c r="N185" s="8"/>
      <c r="O185" s="8"/>
      <c r="P185" s="8"/>
      <c r="Q185" s="8"/>
    </row>
    <row r="186" spans="9:17" s="1" customFormat="1" x14ac:dyDescent="0.25">
      <c r="I186" s="8"/>
      <c r="K186" s="8"/>
      <c r="L186" s="8"/>
      <c r="M186" s="8"/>
      <c r="N186" s="8"/>
      <c r="O186" s="8"/>
      <c r="P186" s="8"/>
      <c r="Q186" s="8"/>
    </row>
    <row r="187" spans="9:17" s="1" customFormat="1" x14ac:dyDescent="0.25">
      <c r="I187" s="8"/>
      <c r="K187" s="8"/>
      <c r="L187" s="8"/>
      <c r="M187" s="8"/>
      <c r="N187" s="8"/>
      <c r="O187" s="8"/>
      <c r="P187" s="8"/>
      <c r="Q187" s="8"/>
    </row>
    <row r="188" spans="9:17" s="1" customFormat="1" x14ac:dyDescent="0.25">
      <c r="I188" s="8"/>
      <c r="K188" s="8"/>
      <c r="L188" s="8"/>
      <c r="M188" s="8"/>
      <c r="N188" s="8"/>
      <c r="O188" s="8"/>
      <c r="P188" s="8"/>
      <c r="Q188" s="8"/>
    </row>
    <row r="189" spans="9:17" s="1" customFormat="1" x14ac:dyDescent="0.25">
      <c r="I189" s="8"/>
      <c r="K189" s="8"/>
      <c r="L189" s="8"/>
      <c r="M189" s="8"/>
      <c r="N189" s="8"/>
      <c r="O189" s="8"/>
      <c r="P189" s="8"/>
      <c r="Q189" s="8"/>
    </row>
    <row r="190" spans="9:17" s="1" customFormat="1" x14ac:dyDescent="0.25">
      <c r="I190" s="8"/>
      <c r="K190" s="8"/>
      <c r="L190" s="8"/>
      <c r="M190" s="8"/>
      <c r="N190" s="8"/>
      <c r="O190" s="8"/>
      <c r="P190" s="8"/>
      <c r="Q190" s="8"/>
    </row>
    <row r="191" spans="9:17" s="1" customFormat="1" x14ac:dyDescent="0.25">
      <c r="I191" s="8"/>
      <c r="K191" s="8"/>
      <c r="L191" s="8"/>
      <c r="M191" s="8"/>
      <c r="N191" s="8"/>
      <c r="O191" s="8"/>
      <c r="P191" s="8"/>
      <c r="Q191" s="8"/>
    </row>
    <row r="192" spans="9:17" s="1" customFormat="1" x14ac:dyDescent="0.25">
      <c r="I192" s="8"/>
      <c r="K192" s="8"/>
      <c r="L192" s="8"/>
      <c r="M192" s="8"/>
      <c r="N192" s="8"/>
      <c r="O192" s="8"/>
      <c r="P192" s="8"/>
      <c r="Q192" s="8"/>
    </row>
    <row r="193" spans="9:17" s="1" customFormat="1" x14ac:dyDescent="0.25">
      <c r="I193" s="8"/>
      <c r="K193" s="8"/>
      <c r="L193" s="8"/>
      <c r="M193" s="8"/>
      <c r="N193" s="8"/>
      <c r="O193" s="8"/>
      <c r="P193" s="8"/>
      <c r="Q193" s="8"/>
    </row>
    <row r="194" spans="9:17" s="1" customFormat="1" x14ac:dyDescent="0.25">
      <c r="I194" s="8"/>
      <c r="K194" s="8"/>
      <c r="L194" s="8"/>
      <c r="M194" s="8"/>
      <c r="N194" s="8"/>
      <c r="O194" s="8"/>
      <c r="P194" s="8"/>
      <c r="Q194" s="8"/>
    </row>
    <row r="195" spans="9:17" s="1" customFormat="1" x14ac:dyDescent="0.25">
      <c r="I195" s="8"/>
      <c r="K195" s="8"/>
      <c r="L195" s="8"/>
      <c r="M195" s="8"/>
      <c r="N195" s="8"/>
      <c r="O195" s="8"/>
      <c r="P195" s="8"/>
      <c r="Q195" s="8"/>
    </row>
    <row r="196" spans="9:17" s="1" customFormat="1" x14ac:dyDescent="0.25">
      <c r="I196" s="8"/>
      <c r="K196" s="8"/>
      <c r="L196" s="8"/>
      <c r="M196" s="8"/>
      <c r="N196" s="8"/>
      <c r="O196" s="8"/>
      <c r="P196" s="8"/>
      <c r="Q196" s="8"/>
    </row>
    <row r="197" spans="9:17" s="1" customFormat="1" x14ac:dyDescent="0.25">
      <c r="I197" s="8"/>
      <c r="K197" s="8"/>
      <c r="L197" s="8"/>
      <c r="M197" s="8"/>
      <c r="N197" s="8"/>
      <c r="O197" s="8"/>
      <c r="P197" s="8"/>
      <c r="Q197" s="8"/>
    </row>
    <row r="198" spans="9:17" s="1" customFormat="1" x14ac:dyDescent="0.25">
      <c r="I198" s="8"/>
      <c r="K198" s="8"/>
      <c r="L198" s="8"/>
      <c r="M198" s="8"/>
      <c r="N198" s="8"/>
      <c r="O198" s="8"/>
      <c r="P198" s="8"/>
      <c r="Q198" s="8"/>
    </row>
    <row r="199" spans="9:17" s="1" customFormat="1" x14ac:dyDescent="0.25">
      <c r="I199" s="8"/>
      <c r="K199" s="8"/>
      <c r="L199" s="8"/>
      <c r="M199" s="8"/>
      <c r="N199" s="8"/>
      <c r="O199" s="8"/>
      <c r="P199" s="8"/>
      <c r="Q199" s="8"/>
    </row>
    <row r="200" spans="9:17" s="1" customFormat="1" x14ac:dyDescent="0.25">
      <c r="I200" s="8"/>
      <c r="K200" s="8"/>
      <c r="L200" s="8"/>
      <c r="M200" s="8"/>
      <c r="N200" s="8"/>
      <c r="O200" s="8"/>
      <c r="P200" s="8"/>
      <c r="Q200" s="8"/>
    </row>
    <row r="201" spans="9:17" s="1" customFormat="1" x14ac:dyDescent="0.25">
      <c r="I201" s="8"/>
      <c r="K201" s="8"/>
      <c r="L201" s="8"/>
      <c r="M201" s="8"/>
      <c r="N201" s="8"/>
      <c r="O201" s="8"/>
      <c r="P201" s="8"/>
      <c r="Q201" s="8"/>
    </row>
    <row r="202" spans="9:17" s="1" customFormat="1" x14ac:dyDescent="0.25">
      <c r="I202" s="8"/>
      <c r="K202" s="8"/>
      <c r="L202" s="8"/>
      <c r="M202" s="8"/>
      <c r="N202" s="8"/>
      <c r="O202" s="8"/>
      <c r="P202" s="8"/>
      <c r="Q202" s="8"/>
    </row>
    <row r="203" spans="9:17" s="1" customFormat="1" x14ac:dyDescent="0.25">
      <c r="I203" s="8"/>
      <c r="K203" s="8"/>
      <c r="L203" s="8"/>
      <c r="M203" s="8"/>
      <c r="N203" s="8"/>
      <c r="O203" s="8"/>
      <c r="P203" s="8"/>
      <c r="Q203" s="8"/>
    </row>
    <row r="204" spans="9:17" s="1" customFormat="1" x14ac:dyDescent="0.25">
      <c r="I204" s="8"/>
      <c r="K204" s="8"/>
      <c r="L204" s="8"/>
      <c r="M204" s="8"/>
      <c r="N204" s="8"/>
      <c r="O204" s="8"/>
      <c r="P204" s="8"/>
      <c r="Q204" s="8"/>
    </row>
    <row r="205" spans="9:17" s="1" customFormat="1" x14ac:dyDescent="0.25">
      <c r="I205" s="8"/>
      <c r="K205" s="8"/>
      <c r="L205" s="8"/>
      <c r="M205" s="8"/>
      <c r="N205" s="8"/>
      <c r="O205" s="8"/>
      <c r="P205" s="8"/>
      <c r="Q205" s="8"/>
    </row>
    <row r="206" spans="9:17" s="1" customFormat="1" x14ac:dyDescent="0.25">
      <c r="I206" s="8"/>
      <c r="K206" s="8"/>
      <c r="L206" s="8"/>
      <c r="M206" s="8"/>
      <c r="N206" s="8"/>
      <c r="O206" s="8"/>
      <c r="P206" s="8"/>
      <c r="Q206" s="8"/>
    </row>
    <row r="207" spans="9:17" s="1" customFormat="1" x14ac:dyDescent="0.25">
      <c r="I207" s="8"/>
      <c r="K207" s="8"/>
      <c r="L207" s="8"/>
      <c r="M207" s="8"/>
      <c r="N207" s="8"/>
      <c r="O207" s="8"/>
      <c r="P207" s="8"/>
      <c r="Q207" s="8"/>
    </row>
    <row r="208" spans="9:17" s="1" customFormat="1" x14ac:dyDescent="0.25">
      <c r="I208" s="8"/>
      <c r="K208" s="8"/>
      <c r="L208" s="8"/>
      <c r="M208" s="8"/>
      <c r="N208" s="8"/>
      <c r="O208" s="8"/>
      <c r="P208" s="8"/>
      <c r="Q208" s="8"/>
    </row>
    <row r="209" spans="9:17" s="1" customFormat="1" x14ac:dyDescent="0.25">
      <c r="I209" s="8"/>
      <c r="K209" s="8"/>
      <c r="L209" s="8"/>
      <c r="M209" s="8"/>
      <c r="N209" s="8"/>
      <c r="O209" s="8"/>
      <c r="P209" s="8"/>
      <c r="Q209" s="8"/>
    </row>
    <row r="210" spans="9:17" s="1" customFormat="1" x14ac:dyDescent="0.25">
      <c r="I210" s="8"/>
      <c r="K210" s="8"/>
      <c r="L210" s="8"/>
      <c r="M210" s="8"/>
      <c r="N210" s="8"/>
      <c r="O210" s="8"/>
      <c r="P210" s="8"/>
      <c r="Q210" s="8"/>
    </row>
    <row r="211" spans="9:17" s="1" customFormat="1" x14ac:dyDescent="0.25">
      <c r="I211" s="8"/>
      <c r="K211" s="8"/>
      <c r="L211" s="8"/>
      <c r="M211" s="8"/>
      <c r="N211" s="8"/>
      <c r="O211" s="8"/>
      <c r="P211" s="8"/>
      <c r="Q211" s="8"/>
    </row>
    <row r="212" spans="9:17" s="1" customFormat="1" x14ac:dyDescent="0.25">
      <c r="I212" s="8"/>
      <c r="K212" s="8"/>
      <c r="L212" s="8"/>
      <c r="M212" s="8"/>
      <c r="N212" s="8"/>
      <c r="O212" s="8"/>
      <c r="P212" s="8"/>
      <c r="Q212" s="8"/>
    </row>
    <row r="213" spans="9:17" s="1" customFormat="1" x14ac:dyDescent="0.25">
      <c r="I213" s="8"/>
      <c r="K213" s="8"/>
      <c r="L213" s="8"/>
      <c r="M213" s="8"/>
      <c r="N213" s="8"/>
      <c r="O213" s="8"/>
      <c r="P213" s="8"/>
      <c r="Q213" s="8"/>
    </row>
    <row r="214" spans="9:17" s="1" customFormat="1" x14ac:dyDescent="0.25">
      <c r="I214" s="8"/>
      <c r="K214" s="8"/>
      <c r="L214" s="8"/>
      <c r="M214" s="8"/>
      <c r="N214" s="8"/>
      <c r="O214" s="8"/>
      <c r="P214" s="8"/>
      <c r="Q214" s="8"/>
    </row>
    <row r="215" spans="9:17" s="1" customFormat="1" x14ac:dyDescent="0.25">
      <c r="I215" s="8"/>
      <c r="K215" s="8"/>
      <c r="L215" s="8"/>
      <c r="M215" s="8"/>
      <c r="N215" s="8"/>
      <c r="O215" s="8"/>
      <c r="P215" s="8"/>
      <c r="Q215" s="8"/>
    </row>
    <row r="216" spans="9:17" s="1" customFormat="1" x14ac:dyDescent="0.25">
      <c r="I216" s="8"/>
      <c r="K216" s="8"/>
      <c r="L216" s="8"/>
      <c r="M216" s="8"/>
      <c r="N216" s="8"/>
      <c r="O216" s="8"/>
      <c r="P216" s="8"/>
      <c r="Q216" s="8"/>
    </row>
    <row r="217" spans="9:17" s="1" customFormat="1" x14ac:dyDescent="0.25">
      <c r="I217" s="8"/>
      <c r="K217" s="8"/>
      <c r="L217" s="8"/>
      <c r="M217" s="8"/>
      <c r="N217" s="8"/>
      <c r="O217" s="8"/>
      <c r="P217" s="8"/>
      <c r="Q217" s="8"/>
    </row>
    <row r="218" spans="9:17" s="1" customFormat="1" x14ac:dyDescent="0.25">
      <c r="I218" s="8"/>
      <c r="K218" s="8"/>
      <c r="L218" s="8"/>
      <c r="M218" s="8"/>
      <c r="N218" s="8"/>
      <c r="O218" s="8"/>
      <c r="P218" s="8"/>
      <c r="Q218" s="8"/>
    </row>
    <row r="219" spans="9:17" s="1" customFormat="1" x14ac:dyDescent="0.25">
      <c r="I219" s="8"/>
      <c r="K219" s="8"/>
      <c r="L219" s="8"/>
      <c r="M219" s="8"/>
      <c r="N219" s="8"/>
      <c r="O219" s="8"/>
      <c r="P219" s="8"/>
      <c r="Q219" s="8"/>
    </row>
    <row r="220" spans="9:17" s="1" customFormat="1" x14ac:dyDescent="0.25">
      <c r="I220" s="8"/>
      <c r="K220" s="8"/>
      <c r="L220" s="8"/>
      <c r="M220" s="8"/>
      <c r="N220" s="8"/>
      <c r="O220" s="8"/>
      <c r="P220" s="8"/>
      <c r="Q220" s="8"/>
    </row>
    <row r="221" spans="9:17" s="1" customFormat="1" x14ac:dyDescent="0.25">
      <c r="I221" s="8"/>
      <c r="K221" s="8"/>
      <c r="L221" s="8"/>
      <c r="M221" s="8"/>
      <c r="N221" s="8"/>
      <c r="O221" s="8"/>
      <c r="P221" s="8"/>
      <c r="Q221" s="8"/>
    </row>
    <row r="222" spans="9:17" s="1" customFormat="1" x14ac:dyDescent="0.25">
      <c r="I222" s="8"/>
      <c r="K222" s="8"/>
      <c r="L222" s="8"/>
      <c r="M222" s="8"/>
      <c r="N222" s="8"/>
      <c r="O222" s="8"/>
      <c r="P222" s="8"/>
      <c r="Q222" s="8"/>
    </row>
    <row r="223" spans="9:17" s="1" customFormat="1" x14ac:dyDescent="0.25">
      <c r="I223" s="8"/>
      <c r="K223" s="8"/>
      <c r="L223" s="8"/>
      <c r="M223" s="8"/>
      <c r="N223" s="8"/>
      <c r="O223" s="8"/>
      <c r="P223" s="8"/>
      <c r="Q223" s="8"/>
    </row>
    <row r="224" spans="9:17" s="1" customFormat="1" x14ac:dyDescent="0.25">
      <c r="I224" s="8"/>
      <c r="K224" s="8"/>
      <c r="L224" s="8"/>
      <c r="M224" s="8"/>
      <c r="N224" s="8"/>
      <c r="O224" s="8"/>
      <c r="P224" s="8"/>
      <c r="Q224" s="8"/>
    </row>
    <row r="225" spans="9:17" s="1" customFormat="1" x14ac:dyDescent="0.25">
      <c r="I225" s="8"/>
      <c r="K225" s="8"/>
      <c r="L225" s="8"/>
      <c r="M225" s="8"/>
      <c r="N225" s="8"/>
      <c r="O225" s="8"/>
      <c r="P225" s="8"/>
      <c r="Q225" s="8"/>
    </row>
    <row r="226" spans="9:17" s="1" customFormat="1" x14ac:dyDescent="0.25">
      <c r="I226" s="8"/>
      <c r="K226" s="8"/>
      <c r="L226" s="8"/>
      <c r="M226" s="8"/>
      <c r="N226" s="8"/>
      <c r="O226" s="8"/>
      <c r="P226" s="8"/>
      <c r="Q226" s="8"/>
    </row>
    <row r="227" spans="9:17" s="1" customFormat="1" x14ac:dyDescent="0.25">
      <c r="I227" s="8"/>
      <c r="K227" s="8"/>
      <c r="L227" s="8"/>
      <c r="M227" s="8"/>
      <c r="N227" s="8"/>
      <c r="O227" s="8"/>
      <c r="P227" s="8"/>
      <c r="Q227" s="8"/>
    </row>
    <row r="228" spans="9:17" s="1" customFormat="1" x14ac:dyDescent="0.25">
      <c r="I228" s="8"/>
      <c r="K228" s="8"/>
      <c r="L228" s="8"/>
      <c r="M228" s="8"/>
      <c r="N228" s="8"/>
      <c r="O228" s="8"/>
      <c r="P228" s="8"/>
      <c r="Q228" s="8"/>
    </row>
    <row r="229" spans="9:17" s="1" customFormat="1" x14ac:dyDescent="0.25">
      <c r="I229" s="8"/>
      <c r="K229" s="8"/>
      <c r="L229" s="8"/>
      <c r="M229" s="8"/>
      <c r="N229" s="8"/>
      <c r="O229" s="8"/>
      <c r="P229" s="8"/>
      <c r="Q229" s="8"/>
    </row>
    <row r="230" spans="9:17" s="1" customFormat="1" x14ac:dyDescent="0.25">
      <c r="I230" s="8"/>
      <c r="K230" s="8"/>
      <c r="L230" s="8"/>
      <c r="M230" s="8"/>
      <c r="N230" s="8"/>
      <c r="O230" s="8"/>
      <c r="P230" s="8"/>
      <c r="Q230" s="8"/>
    </row>
    <row r="231" spans="9:17" s="1" customFormat="1" x14ac:dyDescent="0.25">
      <c r="I231" s="8"/>
      <c r="K231" s="8"/>
      <c r="L231" s="8"/>
      <c r="M231" s="8"/>
      <c r="N231" s="8"/>
      <c r="O231" s="8"/>
      <c r="P231" s="8"/>
      <c r="Q231" s="8"/>
    </row>
    <row r="232" spans="9:17" s="1" customFormat="1" x14ac:dyDescent="0.25">
      <c r="I232" s="8"/>
      <c r="K232" s="8"/>
      <c r="L232" s="8"/>
      <c r="M232" s="8"/>
      <c r="N232" s="8"/>
      <c r="O232" s="8"/>
      <c r="P232" s="8"/>
      <c r="Q232" s="8"/>
    </row>
    <row r="233" spans="9:17" s="1" customFormat="1" x14ac:dyDescent="0.25">
      <c r="I233" s="8"/>
      <c r="K233" s="8"/>
      <c r="L233" s="8"/>
      <c r="M233" s="8"/>
      <c r="N233" s="8"/>
      <c r="O233" s="8"/>
      <c r="P233" s="8"/>
      <c r="Q233" s="8"/>
    </row>
    <row r="234" spans="9:17" s="1" customFormat="1" x14ac:dyDescent="0.25">
      <c r="I234" s="8"/>
      <c r="K234" s="8"/>
      <c r="L234" s="8"/>
      <c r="M234" s="8"/>
      <c r="N234" s="8"/>
      <c r="O234" s="8"/>
      <c r="P234" s="8"/>
      <c r="Q234" s="8"/>
    </row>
    <row r="235" spans="9:17" s="1" customFormat="1" x14ac:dyDescent="0.25">
      <c r="I235" s="8"/>
      <c r="K235" s="8"/>
      <c r="L235" s="8"/>
      <c r="M235" s="8"/>
      <c r="N235" s="8"/>
      <c r="O235" s="8"/>
      <c r="P235" s="8"/>
      <c r="Q235" s="8"/>
    </row>
    <row r="236" spans="9:17" s="1" customFormat="1" x14ac:dyDescent="0.25">
      <c r="I236" s="8"/>
      <c r="K236" s="8"/>
      <c r="L236" s="8"/>
      <c r="M236" s="8"/>
      <c r="N236" s="8"/>
      <c r="O236" s="8"/>
      <c r="P236" s="8"/>
      <c r="Q236" s="8"/>
    </row>
    <row r="237" spans="9:17" s="1" customFormat="1" x14ac:dyDescent="0.25">
      <c r="I237" s="8"/>
      <c r="K237" s="8"/>
      <c r="L237" s="8"/>
      <c r="M237" s="8"/>
      <c r="N237" s="8"/>
      <c r="O237" s="8"/>
      <c r="P237" s="8"/>
      <c r="Q237" s="8"/>
    </row>
    <row r="238" spans="9:17" s="1" customFormat="1" x14ac:dyDescent="0.25">
      <c r="I238" s="8"/>
      <c r="K238" s="8"/>
      <c r="L238" s="8"/>
      <c r="M238" s="8"/>
      <c r="N238" s="8"/>
      <c r="O238" s="8"/>
      <c r="P238" s="8"/>
      <c r="Q238" s="8"/>
    </row>
    <row r="239" spans="9:17" s="1" customFormat="1" x14ac:dyDescent="0.25">
      <c r="I239" s="8"/>
      <c r="K239" s="8"/>
      <c r="L239" s="8"/>
      <c r="M239" s="8"/>
      <c r="N239" s="8"/>
      <c r="O239" s="8"/>
      <c r="P239" s="8"/>
      <c r="Q239" s="8"/>
    </row>
    <row r="240" spans="9:17" s="1" customFormat="1" x14ac:dyDescent="0.25">
      <c r="I240" s="8"/>
      <c r="K240" s="8"/>
      <c r="L240" s="8"/>
      <c r="M240" s="8"/>
      <c r="N240" s="8"/>
      <c r="O240" s="8"/>
      <c r="P240" s="8"/>
      <c r="Q240" s="8"/>
    </row>
    <row r="241" spans="9:17" s="1" customFormat="1" x14ac:dyDescent="0.25">
      <c r="I241" s="8"/>
      <c r="K241" s="8"/>
      <c r="L241" s="8"/>
      <c r="M241" s="8"/>
      <c r="N241" s="8"/>
      <c r="O241" s="8"/>
      <c r="P241" s="8"/>
      <c r="Q241" s="8"/>
    </row>
    <row r="242" spans="9:17" s="1" customFormat="1" x14ac:dyDescent="0.25">
      <c r="I242" s="8"/>
      <c r="K242" s="8"/>
      <c r="L242" s="8"/>
      <c r="M242" s="8"/>
      <c r="N242" s="8"/>
      <c r="O242" s="8"/>
      <c r="P242" s="8"/>
      <c r="Q242" s="8"/>
    </row>
    <row r="243" spans="9:17" s="1" customFormat="1" x14ac:dyDescent="0.25">
      <c r="I243" s="8"/>
      <c r="K243" s="8"/>
      <c r="L243" s="8"/>
      <c r="M243" s="8"/>
      <c r="N243" s="8"/>
      <c r="O243" s="8"/>
      <c r="P243" s="8"/>
      <c r="Q243" s="8"/>
    </row>
    <row r="244" spans="9:17" s="1" customFormat="1" x14ac:dyDescent="0.25">
      <c r="I244" s="8"/>
      <c r="K244" s="8"/>
      <c r="L244" s="8"/>
      <c r="M244" s="8"/>
      <c r="N244" s="8"/>
      <c r="O244" s="8"/>
      <c r="P244" s="8"/>
      <c r="Q244" s="8"/>
    </row>
    <row r="245" spans="9:17" s="1" customFormat="1" x14ac:dyDescent="0.25">
      <c r="I245" s="8"/>
      <c r="K245" s="8"/>
      <c r="L245" s="8"/>
      <c r="M245" s="8"/>
      <c r="N245" s="8"/>
      <c r="O245" s="8"/>
      <c r="P245" s="8"/>
      <c r="Q245" s="8"/>
    </row>
    <row r="246" spans="9:17" s="1" customFormat="1" x14ac:dyDescent="0.25">
      <c r="I246" s="8"/>
      <c r="K246" s="8"/>
      <c r="L246" s="8"/>
      <c r="M246" s="8"/>
      <c r="N246" s="8"/>
      <c r="O246" s="8"/>
      <c r="P246" s="8"/>
      <c r="Q246" s="8"/>
    </row>
    <row r="247" spans="9:17" s="1" customFormat="1" x14ac:dyDescent="0.25">
      <c r="I247" s="8"/>
      <c r="K247" s="8"/>
      <c r="L247" s="8"/>
      <c r="M247" s="8"/>
      <c r="N247" s="8"/>
      <c r="O247" s="8"/>
      <c r="P247" s="8"/>
      <c r="Q247" s="8"/>
    </row>
    <row r="248" spans="9:17" s="1" customFormat="1" x14ac:dyDescent="0.25">
      <c r="I248" s="8"/>
      <c r="K248" s="8"/>
      <c r="L248" s="8"/>
      <c r="M248" s="8"/>
      <c r="N248" s="8"/>
      <c r="O248" s="8"/>
      <c r="P248" s="8"/>
      <c r="Q248" s="8"/>
    </row>
    <row r="249" spans="9:17" s="1" customFormat="1" x14ac:dyDescent="0.25">
      <c r="I249" s="8"/>
      <c r="K249" s="8"/>
      <c r="L249" s="8"/>
      <c r="M249" s="8"/>
      <c r="N249" s="8"/>
      <c r="O249" s="8"/>
      <c r="P249" s="8"/>
      <c r="Q249" s="8"/>
    </row>
    <row r="250" spans="9:17" s="1" customFormat="1" x14ac:dyDescent="0.25">
      <c r="I250" s="8"/>
      <c r="K250" s="8"/>
      <c r="L250" s="8"/>
      <c r="M250" s="8"/>
      <c r="N250" s="8"/>
      <c r="O250" s="8"/>
      <c r="P250" s="8"/>
      <c r="Q250" s="8"/>
    </row>
    <row r="251" spans="9:17" s="1" customFormat="1" x14ac:dyDescent="0.25">
      <c r="I251" s="8"/>
      <c r="K251" s="8"/>
      <c r="L251" s="8"/>
      <c r="M251" s="8"/>
      <c r="N251" s="8"/>
      <c r="O251" s="8"/>
      <c r="P251" s="8"/>
      <c r="Q251" s="8"/>
    </row>
    <row r="252" spans="9:17" s="1" customFormat="1" x14ac:dyDescent="0.25">
      <c r="I252" s="8"/>
      <c r="K252" s="8"/>
      <c r="L252" s="8"/>
      <c r="M252" s="8"/>
      <c r="N252" s="8"/>
      <c r="O252" s="8"/>
      <c r="P252" s="8"/>
      <c r="Q252" s="8"/>
    </row>
    <row r="253" spans="9:17" s="1" customFormat="1" x14ac:dyDescent="0.25">
      <c r="I253" s="8"/>
      <c r="K253" s="8"/>
      <c r="L253" s="8"/>
      <c r="M253" s="8"/>
      <c r="N253" s="8"/>
      <c r="O253" s="8"/>
      <c r="P253" s="8"/>
      <c r="Q253" s="8"/>
    </row>
    <row r="254" spans="9:17" s="1" customFormat="1" x14ac:dyDescent="0.25">
      <c r="I254" s="8"/>
      <c r="K254" s="8"/>
      <c r="L254" s="8"/>
      <c r="M254" s="8"/>
      <c r="N254" s="8"/>
      <c r="O254" s="8"/>
      <c r="P254" s="8"/>
      <c r="Q254" s="8"/>
    </row>
    <row r="255" spans="9:17" s="1" customFormat="1" x14ac:dyDescent="0.25">
      <c r="I255" s="8"/>
      <c r="K255" s="8"/>
      <c r="L255" s="8"/>
      <c r="M255" s="8"/>
      <c r="N255" s="8"/>
      <c r="O255" s="8"/>
      <c r="P255" s="8"/>
      <c r="Q255" s="8"/>
    </row>
    <row r="256" spans="9:17" s="1" customFormat="1" x14ac:dyDescent="0.25">
      <c r="I256" s="8"/>
      <c r="K256" s="8"/>
      <c r="L256" s="8"/>
      <c r="M256" s="8"/>
      <c r="N256" s="8"/>
      <c r="O256" s="8"/>
      <c r="P256" s="8"/>
      <c r="Q256" s="8"/>
    </row>
    <row r="257" spans="9:17" s="1" customFormat="1" x14ac:dyDescent="0.25">
      <c r="I257" s="8"/>
      <c r="K257" s="8"/>
      <c r="L257" s="8"/>
      <c r="M257" s="8"/>
      <c r="N257" s="8"/>
      <c r="O257" s="8"/>
      <c r="P257" s="8"/>
      <c r="Q257" s="8"/>
    </row>
    <row r="258" spans="9:17" s="1" customFormat="1" x14ac:dyDescent="0.25">
      <c r="I258" s="8"/>
      <c r="K258" s="8"/>
      <c r="L258" s="8"/>
      <c r="M258" s="8"/>
      <c r="N258" s="8"/>
      <c r="O258" s="8"/>
      <c r="P258" s="8"/>
      <c r="Q258" s="8"/>
    </row>
    <row r="259" spans="9:17" s="1" customFormat="1" x14ac:dyDescent="0.25">
      <c r="I259" s="8"/>
      <c r="K259" s="8"/>
      <c r="L259" s="8"/>
      <c r="M259" s="8"/>
      <c r="N259" s="8"/>
      <c r="O259" s="8"/>
      <c r="P259" s="8"/>
      <c r="Q259" s="8"/>
    </row>
    <row r="260" spans="9:17" s="1" customFormat="1" x14ac:dyDescent="0.25">
      <c r="I260" s="8"/>
      <c r="K260" s="8"/>
      <c r="L260" s="8"/>
      <c r="M260" s="8"/>
      <c r="N260" s="8"/>
      <c r="O260" s="8"/>
      <c r="P260" s="8"/>
      <c r="Q260" s="8"/>
    </row>
    <row r="261" spans="9:17" s="1" customFormat="1" x14ac:dyDescent="0.25">
      <c r="I261" s="8"/>
      <c r="K261" s="8"/>
      <c r="L261" s="8"/>
      <c r="M261" s="8"/>
      <c r="N261" s="8"/>
      <c r="O261" s="8"/>
      <c r="P261" s="8"/>
      <c r="Q261" s="8"/>
    </row>
    <row r="262" spans="9:17" s="1" customFormat="1" x14ac:dyDescent="0.25">
      <c r="I262" s="8"/>
      <c r="K262" s="8"/>
      <c r="L262" s="8"/>
      <c r="M262" s="8"/>
      <c r="N262" s="8"/>
      <c r="O262" s="8"/>
      <c r="P262" s="8"/>
      <c r="Q262" s="8"/>
    </row>
    <row r="263" spans="9:17" s="1" customFormat="1" x14ac:dyDescent="0.25">
      <c r="I263" s="8"/>
      <c r="K263" s="8"/>
      <c r="L263" s="8"/>
      <c r="M263" s="8"/>
      <c r="N263" s="8"/>
      <c r="O263" s="8"/>
      <c r="P263" s="8"/>
      <c r="Q263" s="8"/>
    </row>
    <row r="264" spans="9:17" s="1" customFormat="1" x14ac:dyDescent="0.25">
      <c r="I264" s="8"/>
      <c r="K264" s="8"/>
      <c r="L264" s="8"/>
      <c r="M264" s="8"/>
      <c r="N264" s="8"/>
      <c r="O264" s="8"/>
      <c r="P264" s="8"/>
      <c r="Q264" s="8"/>
    </row>
    <row r="265" spans="9:17" s="1" customFormat="1" x14ac:dyDescent="0.25">
      <c r="I265" s="8"/>
      <c r="K265" s="8"/>
      <c r="L265" s="8"/>
      <c r="M265" s="8"/>
      <c r="N265" s="8"/>
      <c r="O265" s="8"/>
      <c r="P265" s="8"/>
      <c r="Q265" s="8"/>
    </row>
    <row r="266" spans="9:17" s="1" customFormat="1" x14ac:dyDescent="0.25">
      <c r="I266" s="8"/>
      <c r="K266" s="8"/>
      <c r="L266" s="8"/>
      <c r="M266" s="8"/>
      <c r="N266" s="8"/>
      <c r="O266" s="8"/>
      <c r="P266" s="8"/>
      <c r="Q266" s="8"/>
    </row>
    <row r="267" spans="9:17" s="1" customFormat="1" x14ac:dyDescent="0.25">
      <c r="I267" s="8"/>
      <c r="K267" s="8"/>
      <c r="L267" s="8"/>
      <c r="M267" s="8"/>
      <c r="N267" s="8"/>
      <c r="O267" s="8"/>
      <c r="P267" s="8"/>
      <c r="Q267" s="8"/>
    </row>
    <row r="268" spans="9:17" s="1" customFormat="1" x14ac:dyDescent="0.25">
      <c r="I268" s="8"/>
      <c r="K268" s="8"/>
      <c r="L268" s="8"/>
      <c r="M268" s="8"/>
      <c r="N268" s="8"/>
      <c r="O268" s="8"/>
      <c r="P268" s="8"/>
      <c r="Q268" s="8"/>
    </row>
    <row r="269" spans="9:17" s="1" customFormat="1" x14ac:dyDescent="0.25">
      <c r="I269" s="8"/>
      <c r="K269" s="8"/>
      <c r="L269" s="8"/>
      <c r="M269" s="8"/>
      <c r="N269" s="8"/>
      <c r="O269" s="8"/>
      <c r="P269" s="8"/>
      <c r="Q269" s="8"/>
    </row>
    <row r="270" spans="9:17" s="1" customFormat="1" x14ac:dyDescent="0.25">
      <c r="I270" s="8"/>
      <c r="K270" s="8"/>
      <c r="L270" s="8"/>
      <c r="M270" s="8"/>
      <c r="N270" s="8"/>
      <c r="O270" s="8"/>
      <c r="P270" s="8"/>
      <c r="Q270" s="8"/>
    </row>
    <row r="271" spans="9:17" s="1" customFormat="1" x14ac:dyDescent="0.25">
      <c r="I271" s="8"/>
      <c r="K271" s="8"/>
      <c r="L271" s="8"/>
      <c r="M271" s="8"/>
      <c r="N271" s="8"/>
      <c r="O271" s="8"/>
      <c r="P271" s="8"/>
      <c r="Q271" s="8"/>
    </row>
    <row r="272" spans="9:17" s="1" customFormat="1" x14ac:dyDescent="0.25">
      <c r="I272" s="8"/>
      <c r="K272" s="8"/>
      <c r="L272" s="8"/>
      <c r="M272" s="8"/>
      <c r="N272" s="8"/>
      <c r="O272" s="8"/>
      <c r="P272" s="8"/>
      <c r="Q272" s="8"/>
    </row>
    <row r="273" spans="9:17" s="1" customFormat="1" x14ac:dyDescent="0.25">
      <c r="I273" s="8"/>
      <c r="K273" s="8"/>
      <c r="L273" s="8"/>
      <c r="M273" s="8"/>
      <c r="N273" s="8"/>
      <c r="O273" s="8"/>
      <c r="P273" s="8"/>
      <c r="Q273" s="8"/>
    </row>
    <row r="274" spans="9:17" s="1" customFormat="1" x14ac:dyDescent="0.25">
      <c r="I274" s="8"/>
      <c r="K274" s="8"/>
      <c r="L274" s="8"/>
      <c r="M274" s="8"/>
      <c r="N274" s="8"/>
      <c r="O274" s="8"/>
      <c r="P274" s="8"/>
      <c r="Q274" s="8"/>
    </row>
    <row r="275" spans="9:17" s="1" customFormat="1" x14ac:dyDescent="0.25">
      <c r="I275" s="8"/>
      <c r="K275" s="8"/>
      <c r="L275" s="8"/>
      <c r="M275" s="8"/>
      <c r="N275" s="8"/>
      <c r="O275" s="8"/>
      <c r="P275" s="8"/>
      <c r="Q275" s="8"/>
    </row>
    <row r="276" spans="9:17" s="1" customFormat="1" x14ac:dyDescent="0.25">
      <c r="I276" s="8"/>
      <c r="K276" s="8"/>
      <c r="L276" s="8"/>
      <c r="M276" s="8"/>
      <c r="N276" s="8"/>
      <c r="O276" s="8"/>
      <c r="P276" s="8"/>
      <c r="Q276" s="8"/>
    </row>
    <row r="277" spans="9:17" s="1" customFormat="1" x14ac:dyDescent="0.25">
      <c r="I277" s="8"/>
      <c r="K277" s="8"/>
      <c r="L277" s="8"/>
      <c r="M277" s="8"/>
      <c r="N277" s="8"/>
      <c r="O277" s="8"/>
      <c r="P277" s="8"/>
      <c r="Q277" s="8"/>
    </row>
    <row r="278" spans="9:17" s="1" customFormat="1" x14ac:dyDescent="0.25">
      <c r="I278" s="8"/>
      <c r="K278" s="8"/>
      <c r="L278" s="8"/>
      <c r="M278" s="8"/>
      <c r="N278" s="8"/>
      <c r="O278" s="8"/>
      <c r="P278" s="8"/>
      <c r="Q278" s="8"/>
    </row>
    <row r="279" spans="9:17" s="1" customFormat="1" x14ac:dyDescent="0.25">
      <c r="I279" s="8"/>
      <c r="K279" s="8"/>
      <c r="L279" s="8"/>
      <c r="M279" s="8"/>
      <c r="N279" s="8"/>
      <c r="O279" s="8"/>
      <c r="P279" s="8"/>
      <c r="Q279" s="8"/>
    </row>
    <row r="280" spans="9:17" s="1" customFormat="1" x14ac:dyDescent="0.25">
      <c r="I280" s="8"/>
      <c r="K280" s="8"/>
      <c r="L280" s="8"/>
      <c r="M280" s="8"/>
      <c r="N280" s="8"/>
      <c r="O280" s="8"/>
      <c r="P280" s="8"/>
      <c r="Q280" s="8"/>
    </row>
    <row r="281" spans="9:17" s="1" customFormat="1" x14ac:dyDescent="0.25">
      <c r="I281" s="8"/>
      <c r="K281" s="8"/>
      <c r="L281" s="8"/>
      <c r="M281" s="8"/>
      <c r="N281" s="8"/>
      <c r="O281" s="8"/>
      <c r="P281" s="8"/>
      <c r="Q281" s="8"/>
    </row>
    <row r="282" spans="9:17" s="1" customFormat="1" x14ac:dyDescent="0.25">
      <c r="I282" s="8"/>
      <c r="K282" s="8"/>
      <c r="L282" s="8"/>
      <c r="M282" s="8"/>
      <c r="N282" s="8"/>
      <c r="O282" s="8"/>
      <c r="P282" s="8"/>
      <c r="Q282" s="8"/>
    </row>
    <row r="283" spans="9:17" s="1" customFormat="1" x14ac:dyDescent="0.25">
      <c r="I283" s="8"/>
      <c r="K283" s="8"/>
      <c r="L283" s="8"/>
      <c r="M283" s="8"/>
      <c r="N283" s="8"/>
      <c r="O283" s="8"/>
      <c r="P283" s="8"/>
      <c r="Q283" s="8"/>
    </row>
    <row r="284" spans="9:17" s="1" customFormat="1" x14ac:dyDescent="0.25">
      <c r="I284" s="8"/>
      <c r="K284" s="8"/>
      <c r="L284" s="8"/>
      <c r="M284" s="8"/>
      <c r="N284" s="8"/>
      <c r="O284" s="8"/>
      <c r="P284" s="8"/>
      <c r="Q284" s="8"/>
    </row>
    <row r="285" spans="9:17" s="1" customFormat="1" x14ac:dyDescent="0.25">
      <c r="I285" s="8"/>
      <c r="K285" s="8"/>
      <c r="L285" s="8"/>
      <c r="M285" s="8"/>
      <c r="N285" s="8"/>
      <c r="O285" s="8"/>
      <c r="P285" s="8"/>
      <c r="Q285" s="8"/>
    </row>
    <row r="286" spans="9:17" s="1" customFormat="1" x14ac:dyDescent="0.25">
      <c r="I286" s="8"/>
      <c r="K286" s="8"/>
      <c r="L286" s="8"/>
      <c r="M286" s="8"/>
      <c r="N286" s="8"/>
      <c r="O286" s="8"/>
      <c r="P286" s="8"/>
      <c r="Q286" s="8"/>
    </row>
    <row r="287" spans="9:17" s="1" customFormat="1" x14ac:dyDescent="0.25">
      <c r="I287" s="8"/>
      <c r="K287" s="8"/>
      <c r="L287" s="8"/>
      <c r="M287" s="8"/>
      <c r="N287" s="8"/>
      <c r="O287" s="8"/>
      <c r="P287" s="8"/>
      <c r="Q287" s="8"/>
    </row>
    <row r="288" spans="9:17" s="1" customFormat="1" x14ac:dyDescent="0.25">
      <c r="I288" s="8"/>
      <c r="K288" s="8"/>
      <c r="L288" s="8"/>
      <c r="M288" s="8"/>
      <c r="N288" s="8"/>
      <c r="O288" s="8"/>
      <c r="P288" s="8"/>
      <c r="Q288" s="8"/>
    </row>
    <row r="289" spans="9:17" s="1" customFormat="1" x14ac:dyDescent="0.25">
      <c r="I289" s="8"/>
      <c r="K289" s="8"/>
      <c r="L289" s="8"/>
      <c r="M289" s="8"/>
      <c r="N289" s="8"/>
      <c r="O289" s="8"/>
      <c r="P289" s="8"/>
      <c r="Q289" s="8"/>
    </row>
    <row r="290" spans="9:17" s="1" customFormat="1" x14ac:dyDescent="0.25">
      <c r="I290" s="8"/>
      <c r="K290" s="8"/>
      <c r="L290" s="8"/>
      <c r="M290" s="8"/>
      <c r="N290" s="8"/>
      <c r="O290" s="8"/>
      <c r="P290" s="8"/>
      <c r="Q290" s="8"/>
    </row>
    <row r="291" spans="9:17" s="1" customFormat="1" x14ac:dyDescent="0.25">
      <c r="I291" s="8"/>
      <c r="K291" s="8"/>
      <c r="L291" s="8"/>
      <c r="M291" s="8"/>
      <c r="N291" s="8"/>
      <c r="O291" s="8"/>
      <c r="P291" s="8"/>
      <c r="Q291" s="8"/>
    </row>
    <row r="292" spans="9:17" s="1" customFormat="1" x14ac:dyDescent="0.25">
      <c r="I292" s="8"/>
      <c r="K292" s="8"/>
      <c r="L292" s="8"/>
      <c r="M292" s="8"/>
      <c r="N292" s="8"/>
      <c r="O292" s="8"/>
      <c r="P292" s="8"/>
      <c r="Q292" s="8"/>
    </row>
    <row r="293" spans="9:17" s="1" customFormat="1" x14ac:dyDescent="0.25">
      <c r="I293" s="8"/>
      <c r="K293" s="8"/>
      <c r="L293" s="8"/>
      <c r="M293" s="8"/>
      <c r="N293" s="8"/>
      <c r="O293" s="8"/>
      <c r="P293" s="8"/>
      <c r="Q293" s="8"/>
    </row>
    <row r="294" spans="9:17" s="1" customFormat="1" x14ac:dyDescent="0.25">
      <c r="I294" s="8"/>
      <c r="K294" s="8"/>
      <c r="L294" s="8"/>
      <c r="M294" s="8"/>
      <c r="N294" s="8"/>
      <c r="O294" s="8"/>
      <c r="P294" s="8"/>
      <c r="Q294" s="8"/>
    </row>
    <row r="295" spans="9:17" s="1" customFormat="1" x14ac:dyDescent="0.25">
      <c r="I295" s="8"/>
      <c r="K295" s="8"/>
      <c r="L295" s="8"/>
      <c r="M295" s="8"/>
      <c r="N295" s="8"/>
      <c r="O295" s="8"/>
      <c r="P295" s="8"/>
      <c r="Q295" s="8"/>
    </row>
    <row r="296" spans="9:17" s="1" customFormat="1" x14ac:dyDescent="0.25">
      <c r="I296" s="8"/>
      <c r="K296" s="8"/>
      <c r="L296" s="8"/>
      <c r="M296" s="8"/>
      <c r="N296" s="8"/>
      <c r="O296" s="8"/>
      <c r="P296" s="8"/>
      <c r="Q296" s="8"/>
    </row>
    <row r="297" spans="9:17" s="1" customFormat="1" x14ac:dyDescent="0.25">
      <c r="I297" s="8"/>
      <c r="K297" s="8"/>
      <c r="L297" s="8"/>
      <c r="M297" s="8"/>
      <c r="N297" s="8"/>
      <c r="O297" s="8"/>
      <c r="P297" s="8"/>
      <c r="Q297" s="8"/>
    </row>
    <row r="298" spans="9:17" s="1" customFormat="1" x14ac:dyDescent="0.25">
      <c r="I298" s="8"/>
      <c r="K298" s="8"/>
      <c r="L298" s="8"/>
      <c r="M298" s="8"/>
      <c r="N298" s="8"/>
      <c r="O298" s="8"/>
      <c r="P298" s="8"/>
      <c r="Q298" s="8"/>
    </row>
    <row r="299" spans="9:17" s="1" customFormat="1" x14ac:dyDescent="0.25">
      <c r="I299" s="8"/>
      <c r="K299" s="8"/>
      <c r="L299" s="8"/>
      <c r="M299" s="8"/>
      <c r="N299" s="8"/>
      <c r="O299" s="8"/>
      <c r="P299" s="8"/>
      <c r="Q299" s="8"/>
    </row>
    <row r="300" spans="9:17" s="1" customFormat="1" x14ac:dyDescent="0.25">
      <c r="I300" s="8"/>
      <c r="K300" s="8"/>
      <c r="L300" s="8"/>
      <c r="M300" s="8"/>
      <c r="N300" s="8"/>
      <c r="O300" s="8"/>
      <c r="P300" s="8"/>
      <c r="Q300" s="8"/>
    </row>
    <row r="301" spans="9:17" s="1" customFormat="1" x14ac:dyDescent="0.25">
      <c r="I301" s="8"/>
      <c r="K301" s="8"/>
      <c r="L301" s="8"/>
      <c r="M301" s="8"/>
      <c r="N301" s="8"/>
      <c r="O301" s="8"/>
      <c r="P301" s="8"/>
      <c r="Q301" s="8"/>
    </row>
    <row r="302" spans="9:17" s="1" customFormat="1" x14ac:dyDescent="0.25">
      <c r="I302" s="8"/>
      <c r="K302" s="8"/>
      <c r="L302" s="8"/>
      <c r="M302" s="8"/>
      <c r="N302" s="8"/>
      <c r="O302" s="8"/>
      <c r="P302" s="8"/>
      <c r="Q302" s="8"/>
    </row>
    <row r="303" spans="9:17" s="1" customFormat="1" x14ac:dyDescent="0.25">
      <c r="I303" s="8"/>
      <c r="K303" s="8"/>
      <c r="L303" s="8"/>
      <c r="M303" s="8"/>
      <c r="N303" s="8"/>
      <c r="O303" s="8"/>
      <c r="P303" s="8"/>
      <c r="Q303" s="8"/>
    </row>
    <row r="304" spans="9:17" s="1" customFormat="1" x14ac:dyDescent="0.25">
      <c r="I304" s="8"/>
      <c r="K304" s="8"/>
      <c r="L304" s="8"/>
      <c r="M304" s="8"/>
      <c r="N304" s="8"/>
      <c r="O304" s="8"/>
      <c r="P304" s="8"/>
      <c r="Q304" s="8"/>
    </row>
    <row r="305" spans="9:17" s="1" customFormat="1" x14ac:dyDescent="0.25">
      <c r="I305" s="8"/>
      <c r="K305" s="8"/>
      <c r="L305" s="8"/>
      <c r="M305" s="8"/>
      <c r="N305" s="8"/>
      <c r="O305" s="8"/>
      <c r="P305" s="8"/>
      <c r="Q305" s="8"/>
    </row>
    <row r="306" spans="9:17" s="1" customFormat="1" x14ac:dyDescent="0.25">
      <c r="I306" s="8"/>
      <c r="K306" s="8"/>
      <c r="L306" s="8"/>
      <c r="M306" s="8"/>
      <c r="N306" s="8"/>
      <c r="O306" s="8"/>
      <c r="P306" s="8"/>
      <c r="Q306" s="8"/>
    </row>
    <row r="307" spans="9:17" s="1" customFormat="1" x14ac:dyDescent="0.25">
      <c r="I307" s="8"/>
      <c r="K307" s="8"/>
      <c r="L307" s="8"/>
      <c r="M307" s="8"/>
      <c r="N307" s="8"/>
      <c r="O307" s="8"/>
      <c r="P307" s="8"/>
      <c r="Q307" s="8"/>
    </row>
    <row r="308" spans="9:17" s="1" customFormat="1" x14ac:dyDescent="0.25">
      <c r="I308" s="8"/>
      <c r="K308" s="8"/>
      <c r="L308" s="8"/>
      <c r="M308" s="8"/>
      <c r="N308" s="8"/>
      <c r="O308" s="8"/>
      <c r="P308" s="8"/>
      <c r="Q308" s="8"/>
    </row>
    <row r="309" spans="9:17" s="1" customFormat="1" x14ac:dyDescent="0.25">
      <c r="I309" s="8"/>
      <c r="K309" s="8"/>
      <c r="L309" s="8"/>
      <c r="M309" s="8"/>
      <c r="N309" s="8"/>
      <c r="O309" s="8"/>
      <c r="P309" s="8"/>
      <c r="Q309" s="8"/>
    </row>
    <row r="310" spans="9:17" s="1" customFormat="1" x14ac:dyDescent="0.25">
      <c r="I310" s="8"/>
      <c r="K310" s="8"/>
      <c r="L310" s="8"/>
      <c r="M310" s="8"/>
      <c r="N310" s="8"/>
      <c r="O310" s="8"/>
      <c r="P310" s="8"/>
      <c r="Q310" s="8"/>
    </row>
    <row r="311" spans="9:17" s="1" customFormat="1" x14ac:dyDescent="0.25">
      <c r="I311" s="8"/>
      <c r="K311" s="8"/>
      <c r="L311" s="8"/>
      <c r="M311" s="8"/>
      <c r="N311" s="8"/>
      <c r="O311" s="8"/>
      <c r="P311" s="8"/>
      <c r="Q311" s="8"/>
    </row>
    <row r="312" spans="9:17" s="1" customFormat="1" x14ac:dyDescent="0.25">
      <c r="I312" s="8"/>
      <c r="K312" s="8"/>
      <c r="L312" s="8"/>
      <c r="M312" s="8"/>
      <c r="N312" s="8"/>
      <c r="O312" s="8"/>
      <c r="P312" s="8"/>
      <c r="Q312" s="8"/>
    </row>
    <row r="313" spans="9:17" s="1" customFormat="1" x14ac:dyDescent="0.25">
      <c r="I313" s="8"/>
      <c r="K313" s="8"/>
      <c r="L313" s="8"/>
      <c r="M313" s="8"/>
      <c r="N313" s="8"/>
      <c r="O313" s="8"/>
      <c r="P313" s="8"/>
      <c r="Q313" s="8"/>
    </row>
    <row r="314" spans="9:17" s="1" customFormat="1" x14ac:dyDescent="0.25">
      <c r="I314" s="8"/>
      <c r="K314" s="8"/>
      <c r="L314" s="8"/>
      <c r="M314" s="8"/>
      <c r="N314" s="8"/>
      <c r="O314" s="8"/>
      <c r="P314" s="8"/>
      <c r="Q314" s="8"/>
    </row>
    <row r="315" spans="9:17" s="1" customFormat="1" x14ac:dyDescent="0.25">
      <c r="I315" s="8"/>
      <c r="K315" s="8"/>
      <c r="L315" s="8"/>
      <c r="M315" s="8"/>
      <c r="N315" s="8"/>
      <c r="O315" s="8"/>
      <c r="P315" s="8"/>
      <c r="Q315" s="8"/>
    </row>
    <row r="316" spans="9:17" s="1" customFormat="1" x14ac:dyDescent="0.25">
      <c r="I316" s="8"/>
      <c r="K316" s="8"/>
      <c r="L316" s="8"/>
      <c r="M316" s="8"/>
      <c r="N316" s="8"/>
      <c r="O316" s="8"/>
      <c r="P316" s="8"/>
      <c r="Q316" s="8"/>
    </row>
    <row r="317" spans="9:17" s="1" customFormat="1" x14ac:dyDescent="0.25">
      <c r="I317" s="8"/>
      <c r="K317" s="8"/>
      <c r="L317" s="8"/>
      <c r="M317" s="8"/>
      <c r="N317" s="8"/>
      <c r="O317" s="8"/>
      <c r="P317" s="8"/>
      <c r="Q317" s="8"/>
    </row>
    <row r="318" spans="9:17" s="1" customFormat="1" x14ac:dyDescent="0.25">
      <c r="I318" s="8"/>
      <c r="K318" s="8"/>
      <c r="L318" s="8"/>
      <c r="M318" s="8"/>
      <c r="N318" s="8"/>
      <c r="O318" s="8"/>
      <c r="P318" s="8"/>
      <c r="Q318" s="8"/>
    </row>
    <row r="319" spans="9:17" s="1" customFormat="1" x14ac:dyDescent="0.25">
      <c r="I319" s="8"/>
      <c r="K319" s="8"/>
      <c r="L319" s="8"/>
      <c r="M319" s="8"/>
      <c r="N319" s="8"/>
      <c r="O319" s="8"/>
      <c r="P319" s="8"/>
      <c r="Q319" s="8"/>
    </row>
    <row r="320" spans="9:17" s="1" customFormat="1" x14ac:dyDescent="0.25">
      <c r="I320" s="8"/>
      <c r="K320" s="8"/>
      <c r="L320" s="8"/>
      <c r="M320" s="8"/>
      <c r="N320" s="8"/>
      <c r="O320" s="8"/>
      <c r="P320" s="8"/>
      <c r="Q320" s="8"/>
    </row>
    <row r="321" spans="9:17" s="1" customFormat="1" x14ac:dyDescent="0.25">
      <c r="I321" s="8"/>
      <c r="K321" s="8"/>
      <c r="L321" s="8"/>
      <c r="M321" s="8"/>
      <c r="N321" s="8"/>
      <c r="O321" s="8"/>
      <c r="P321" s="8"/>
      <c r="Q321" s="8"/>
    </row>
    <row r="322" spans="9:17" s="1" customFormat="1" x14ac:dyDescent="0.25">
      <c r="I322" s="8"/>
      <c r="K322" s="8"/>
      <c r="L322" s="8"/>
      <c r="M322" s="8"/>
      <c r="N322" s="8"/>
      <c r="O322" s="8"/>
      <c r="P322" s="8"/>
      <c r="Q322" s="8"/>
    </row>
    <row r="323" spans="9:17" s="1" customFormat="1" x14ac:dyDescent="0.25">
      <c r="I323" s="8"/>
      <c r="K323" s="8"/>
      <c r="L323" s="8"/>
      <c r="M323" s="8"/>
      <c r="N323" s="8"/>
      <c r="O323" s="8"/>
      <c r="P323" s="8"/>
      <c r="Q323" s="8"/>
    </row>
    <row r="324" spans="9:17" s="1" customFormat="1" x14ac:dyDescent="0.25">
      <c r="I324" s="8"/>
      <c r="K324" s="8"/>
      <c r="L324" s="8"/>
      <c r="M324" s="8"/>
      <c r="N324" s="8"/>
      <c r="O324" s="8"/>
      <c r="P324" s="8"/>
      <c r="Q324" s="8"/>
    </row>
    <row r="325" spans="9:17" s="1" customFormat="1" x14ac:dyDescent="0.25">
      <c r="I325" s="8"/>
      <c r="K325" s="8"/>
      <c r="L325" s="8"/>
      <c r="M325" s="8"/>
      <c r="N325" s="8"/>
      <c r="O325" s="8"/>
      <c r="P325" s="8"/>
      <c r="Q325" s="8"/>
    </row>
    <row r="326" spans="9:17" s="1" customFormat="1" x14ac:dyDescent="0.25">
      <c r="I326" s="8"/>
      <c r="K326" s="8"/>
      <c r="L326" s="8"/>
      <c r="M326" s="8"/>
      <c r="N326" s="8"/>
      <c r="O326" s="8"/>
      <c r="P326" s="8"/>
      <c r="Q326" s="8"/>
    </row>
    <row r="327" spans="9:17" s="1" customFormat="1" x14ac:dyDescent="0.25">
      <c r="I327" s="8"/>
      <c r="K327" s="8"/>
      <c r="L327" s="8"/>
      <c r="M327" s="8"/>
      <c r="N327" s="8"/>
      <c r="O327" s="8"/>
      <c r="P327" s="8"/>
      <c r="Q327" s="8"/>
    </row>
    <row r="328" spans="9:17" s="1" customFormat="1" x14ac:dyDescent="0.25">
      <c r="I328" s="8"/>
      <c r="K328" s="8"/>
      <c r="L328" s="8"/>
      <c r="M328" s="8"/>
      <c r="N328" s="8"/>
      <c r="O328" s="8"/>
      <c r="P328" s="8"/>
      <c r="Q328" s="8"/>
    </row>
    <row r="329" spans="9:17" s="1" customFormat="1" x14ac:dyDescent="0.25">
      <c r="I329" s="8"/>
      <c r="K329" s="8"/>
      <c r="L329" s="8"/>
      <c r="M329" s="8"/>
      <c r="N329" s="8"/>
      <c r="O329" s="8"/>
      <c r="P329" s="8"/>
      <c r="Q329" s="8"/>
    </row>
    <row r="330" spans="9:17" s="1" customFormat="1" x14ac:dyDescent="0.25">
      <c r="I330" s="8"/>
      <c r="K330" s="8"/>
      <c r="L330" s="8"/>
      <c r="M330" s="8"/>
      <c r="N330" s="8"/>
      <c r="O330" s="8"/>
      <c r="P330" s="8"/>
      <c r="Q330" s="8"/>
    </row>
    <row r="331" spans="9:17" s="1" customFormat="1" x14ac:dyDescent="0.25">
      <c r="I331" s="8"/>
      <c r="K331" s="8"/>
      <c r="L331" s="8"/>
      <c r="M331" s="8"/>
      <c r="N331" s="8"/>
      <c r="O331" s="8"/>
      <c r="P331" s="8"/>
      <c r="Q331" s="8"/>
    </row>
    <row r="332" spans="9:17" s="1" customFormat="1" x14ac:dyDescent="0.25">
      <c r="I332" s="8"/>
      <c r="K332" s="8"/>
      <c r="L332" s="8"/>
      <c r="M332" s="8"/>
      <c r="N332" s="8"/>
      <c r="O332" s="8"/>
      <c r="P332" s="8"/>
      <c r="Q332" s="8"/>
    </row>
    <row r="333" spans="9:17" s="1" customFormat="1" x14ac:dyDescent="0.25">
      <c r="I333" s="8"/>
      <c r="K333" s="8"/>
      <c r="L333" s="8"/>
      <c r="M333" s="8"/>
      <c r="N333" s="8"/>
      <c r="O333" s="8"/>
      <c r="P333" s="8"/>
      <c r="Q333" s="8"/>
    </row>
    <row r="334" spans="9:17" s="1" customFormat="1" x14ac:dyDescent="0.25">
      <c r="I334" s="8"/>
      <c r="K334" s="8"/>
      <c r="L334" s="8"/>
      <c r="M334" s="8"/>
      <c r="N334" s="8"/>
      <c r="O334" s="8"/>
      <c r="P334" s="8"/>
      <c r="Q334" s="8"/>
    </row>
    <row r="335" spans="9:17" s="1" customFormat="1" x14ac:dyDescent="0.25">
      <c r="I335" s="8"/>
      <c r="K335" s="8"/>
      <c r="L335" s="8"/>
      <c r="M335" s="8"/>
      <c r="N335" s="8"/>
      <c r="O335" s="8"/>
      <c r="P335" s="8"/>
      <c r="Q335" s="8"/>
    </row>
    <row r="336" spans="9:17" s="1" customFormat="1" x14ac:dyDescent="0.25">
      <c r="I336" s="8"/>
      <c r="K336" s="8"/>
      <c r="L336" s="8"/>
      <c r="M336" s="8"/>
      <c r="N336" s="8"/>
      <c r="O336" s="8"/>
      <c r="P336" s="8"/>
      <c r="Q336" s="8"/>
    </row>
    <row r="337" spans="9:17" s="1" customFormat="1" x14ac:dyDescent="0.25">
      <c r="I337" s="8"/>
      <c r="K337" s="8"/>
      <c r="L337" s="8"/>
      <c r="M337" s="8"/>
      <c r="N337" s="8"/>
      <c r="O337" s="8"/>
      <c r="P337" s="8"/>
      <c r="Q337" s="8"/>
    </row>
    <row r="338" spans="9:17" s="1" customFormat="1" x14ac:dyDescent="0.25">
      <c r="I338" s="8"/>
      <c r="K338" s="8"/>
      <c r="L338" s="8"/>
      <c r="M338" s="8"/>
      <c r="N338" s="8"/>
      <c r="O338" s="8"/>
      <c r="P338" s="8"/>
      <c r="Q338" s="8"/>
    </row>
    <row r="339" spans="9:17" s="1" customFormat="1" x14ac:dyDescent="0.25">
      <c r="I339" s="8"/>
      <c r="K339" s="8"/>
      <c r="L339" s="8"/>
      <c r="M339" s="8"/>
      <c r="N339" s="8"/>
      <c r="O339" s="8"/>
      <c r="P339" s="8"/>
      <c r="Q339" s="8"/>
    </row>
    <row r="340" spans="9:17" s="1" customFormat="1" x14ac:dyDescent="0.25">
      <c r="I340" s="8"/>
      <c r="K340" s="8"/>
      <c r="L340" s="8"/>
      <c r="M340" s="8"/>
      <c r="N340" s="8"/>
      <c r="O340" s="8"/>
      <c r="P340" s="8"/>
      <c r="Q340" s="8"/>
    </row>
    <row r="341" spans="9:17" s="1" customFormat="1" x14ac:dyDescent="0.25">
      <c r="I341" s="8"/>
      <c r="K341" s="8"/>
      <c r="L341" s="8"/>
      <c r="M341" s="8"/>
      <c r="N341" s="8"/>
      <c r="O341" s="8"/>
      <c r="P341" s="8"/>
      <c r="Q341" s="8"/>
    </row>
    <row r="342" spans="9:17" s="1" customFormat="1" x14ac:dyDescent="0.25">
      <c r="I342" s="8"/>
      <c r="K342" s="8"/>
      <c r="L342" s="8"/>
      <c r="M342" s="8"/>
      <c r="N342" s="8"/>
      <c r="O342" s="8"/>
      <c r="P342" s="8"/>
      <c r="Q342" s="8"/>
    </row>
    <row r="343" spans="9:17" s="1" customFormat="1" x14ac:dyDescent="0.25">
      <c r="I343" s="8"/>
      <c r="K343" s="8"/>
      <c r="L343" s="8"/>
      <c r="M343" s="8"/>
      <c r="N343" s="8"/>
      <c r="O343" s="8"/>
      <c r="P343" s="8"/>
      <c r="Q343" s="8"/>
    </row>
    <row r="344" spans="9:17" s="1" customFormat="1" x14ac:dyDescent="0.25">
      <c r="I344" s="8"/>
      <c r="K344" s="8"/>
      <c r="L344" s="8"/>
      <c r="M344" s="8"/>
      <c r="N344" s="8"/>
      <c r="O344" s="8"/>
      <c r="P344" s="8"/>
      <c r="Q344" s="8"/>
    </row>
    <row r="345" spans="9:17" s="1" customFormat="1" x14ac:dyDescent="0.25">
      <c r="I345" s="8"/>
      <c r="K345" s="8"/>
      <c r="L345" s="8"/>
      <c r="M345" s="8"/>
      <c r="N345" s="8"/>
      <c r="O345" s="8"/>
      <c r="P345" s="8"/>
      <c r="Q345" s="8"/>
    </row>
    <row r="346" spans="9:17" s="1" customFormat="1" x14ac:dyDescent="0.25">
      <c r="I346" s="8"/>
      <c r="K346" s="8"/>
      <c r="L346" s="8"/>
      <c r="M346" s="8"/>
      <c r="N346" s="8"/>
      <c r="O346" s="8"/>
      <c r="P346" s="8"/>
      <c r="Q346" s="8"/>
    </row>
    <row r="347" spans="9:17" s="1" customFormat="1" x14ac:dyDescent="0.25">
      <c r="I347" s="8"/>
      <c r="K347" s="8"/>
      <c r="L347" s="8"/>
      <c r="M347" s="8"/>
      <c r="N347" s="8"/>
      <c r="O347" s="8"/>
      <c r="P347" s="8"/>
      <c r="Q347" s="8"/>
    </row>
    <row r="348" spans="9:17" s="1" customFormat="1" x14ac:dyDescent="0.25">
      <c r="I348" s="8"/>
      <c r="K348" s="8"/>
      <c r="L348" s="8"/>
      <c r="M348" s="8"/>
      <c r="N348" s="8"/>
      <c r="O348" s="8"/>
      <c r="P348" s="8"/>
      <c r="Q348" s="8"/>
    </row>
    <row r="349" spans="9:17" s="1" customFormat="1" x14ac:dyDescent="0.25">
      <c r="I349" s="8"/>
      <c r="K349" s="8"/>
      <c r="L349" s="8"/>
      <c r="M349" s="8"/>
      <c r="N349" s="8"/>
      <c r="O349" s="8"/>
      <c r="P349" s="8"/>
      <c r="Q349" s="8"/>
    </row>
    <row r="350" spans="9:17" s="1" customFormat="1" x14ac:dyDescent="0.25">
      <c r="I350" s="8"/>
      <c r="K350" s="8"/>
      <c r="L350" s="8"/>
      <c r="M350" s="8"/>
      <c r="N350" s="8"/>
      <c r="O350" s="8"/>
      <c r="P350" s="8"/>
      <c r="Q350" s="8"/>
    </row>
    <row r="351" spans="9:17" s="1" customFormat="1" x14ac:dyDescent="0.25">
      <c r="I351" s="8"/>
      <c r="K351" s="8"/>
      <c r="L351" s="8"/>
      <c r="M351" s="8"/>
      <c r="N351" s="8"/>
      <c r="O351" s="8"/>
      <c r="P351" s="8"/>
      <c r="Q351" s="8"/>
    </row>
    <row r="352" spans="9:17" s="1" customFormat="1" x14ac:dyDescent="0.25">
      <c r="I352" s="8"/>
      <c r="K352" s="8"/>
      <c r="L352" s="8"/>
      <c r="M352" s="8"/>
      <c r="N352" s="8"/>
      <c r="O352" s="8"/>
      <c r="P352" s="8"/>
      <c r="Q352" s="8"/>
    </row>
    <row r="353" spans="9:17" s="1" customFormat="1" x14ac:dyDescent="0.25">
      <c r="I353" s="8"/>
      <c r="K353" s="8"/>
      <c r="L353" s="8"/>
      <c r="M353" s="8"/>
      <c r="N353" s="8"/>
      <c r="O353" s="8"/>
      <c r="P353" s="8"/>
      <c r="Q353" s="8"/>
    </row>
    <row r="354" spans="9:17" s="1" customFormat="1" x14ac:dyDescent="0.25">
      <c r="I354" s="8"/>
      <c r="K354" s="8"/>
      <c r="L354" s="8"/>
      <c r="M354" s="8"/>
      <c r="N354" s="8"/>
      <c r="O354" s="8"/>
      <c r="P354" s="8"/>
      <c r="Q354" s="8"/>
    </row>
    <row r="355" spans="9:17" s="1" customFormat="1" x14ac:dyDescent="0.25">
      <c r="I355" s="8"/>
      <c r="K355" s="8"/>
      <c r="L355" s="8"/>
      <c r="M355" s="8"/>
      <c r="N355" s="8"/>
      <c r="O355" s="8"/>
      <c r="P355" s="8"/>
      <c r="Q355" s="8"/>
    </row>
    <row r="356" spans="9:17" s="1" customFormat="1" x14ac:dyDescent="0.25">
      <c r="I356" s="8"/>
      <c r="K356" s="8"/>
      <c r="L356" s="8"/>
      <c r="M356" s="8"/>
      <c r="N356" s="8"/>
      <c r="O356" s="8"/>
      <c r="P356" s="8"/>
      <c r="Q356" s="8"/>
    </row>
    <row r="357" spans="9:17" s="1" customFormat="1" x14ac:dyDescent="0.25">
      <c r="I357" s="8"/>
      <c r="K357" s="8"/>
      <c r="L357" s="8"/>
      <c r="M357" s="8"/>
      <c r="N357" s="8"/>
      <c r="O357" s="8"/>
      <c r="P357" s="8"/>
      <c r="Q357" s="8"/>
    </row>
    <row r="358" spans="9:17" s="1" customFormat="1" x14ac:dyDescent="0.25">
      <c r="I358" s="8"/>
      <c r="K358" s="8"/>
      <c r="L358" s="8"/>
      <c r="M358" s="8"/>
      <c r="N358" s="8"/>
      <c r="O358" s="8"/>
      <c r="P358" s="8"/>
      <c r="Q358" s="8"/>
    </row>
    <row r="359" spans="9:17" s="1" customFormat="1" x14ac:dyDescent="0.25">
      <c r="I359" s="8"/>
      <c r="K359" s="8"/>
      <c r="L359" s="8"/>
      <c r="M359" s="8"/>
      <c r="N359" s="8"/>
      <c r="O359" s="8"/>
      <c r="P359" s="8"/>
      <c r="Q359" s="8"/>
    </row>
    <row r="360" spans="9:17" s="1" customFormat="1" x14ac:dyDescent="0.25">
      <c r="I360" s="8"/>
      <c r="K360" s="8"/>
      <c r="L360" s="8"/>
      <c r="M360" s="8"/>
      <c r="N360" s="8"/>
      <c r="O360" s="8"/>
      <c r="P360" s="8"/>
      <c r="Q360" s="8"/>
    </row>
    <row r="361" spans="9:17" s="1" customFormat="1" x14ac:dyDescent="0.25">
      <c r="I361" s="8"/>
      <c r="K361" s="8"/>
      <c r="L361" s="8"/>
      <c r="M361" s="8"/>
      <c r="N361" s="8"/>
      <c r="O361" s="8"/>
      <c r="P361" s="8"/>
      <c r="Q361" s="8"/>
    </row>
    <row r="362" spans="9:17" s="1" customFormat="1" x14ac:dyDescent="0.25">
      <c r="I362" s="8"/>
      <c r="K362" s="8"/>
      <c r="L362" s="8"/>
      <c r="M362" s="8"/>
      <c r="N362" s="8"/>
      <c r="O362" s="8"/>
      <c r="P362" s="8"/>
      <c r="Q362" s="8"/>
    </row>
    <row r="363" spans="9:17" s="1" customFormat="1" x14ac:dyDescent="0.25">
      <c r="I363" s="8"/>
      <c r="K363" s="8"/>
      <c r="L363" s="8"/>
      <c r="M363" s="8"/>
      <c r="N363" s="8"/>
      <c r="O363" s="8"/>
      <c r="P363" s="8"/>
      <c r="Q363" s="8"/>
    </row>
    <row r="364" spans="9:17" s="1" customFormat="1" x14ac:dyDescent="0.25">
      <c r="I364" s="8"/>
      <c r="K364" s="8"/>
      <c r="L364" s="8"/>
      <c r="M364" s="8"/>
      <c r="N364" s="8"/>
      <c r="O364" s="8"/>
      <c r="P364" s="8"/>
      <c r="Q364" s="8"/>
    </row>
    <row r="365" spans="9:17" s="1" customFormat="1" x14ac:dyDescent="0.25">
      <c r="I365" s="8"/>
      <c r="K365" s="8"/>
      <c r="L365" s="8"/>
      <c r="M365" s="8"/>
      <c r="N365" s="8"/>
      <c r="O365" s="8"/>
      <c r="P365" s="8"/>
      <c r="Q365" s="8"/>
    </row>
    <row r="366" spans="9:17" s="1" customFormat="1" x14ac:dyDescent="0.25">
      <c r="I366" s="8"/>
      <c r="K366" s="8"/>
      <c r="L366" s="8"/>
      <c r="M366" s="8"/>
      <c r="N366" s="8"/>
      <c r="O366" s="8"/>
      <c r="P366" s="8"/>
      <c r="Q366" s="8"/>
    </row>
    <row r="367" spans="9:17" s="1" customFormat="1" x14ac:dyDescent="0.25">
      <c r="I367" s="8"/>
      <c r="K367" s="8"/>
      <c r="L367" s="8"/>
      <c r="M367" s="8"/>
      <c r="N367" s="8"/>
      <c r="O367" s="8"/>
      <c r="P367" s="8"/>
      <c r="Q367" s="8"/>
    </row>
    <row r="368" spans="9:17" s="1" customFormat="1" x14ac:dyDescent="0.25">
      <c r="I368" s="8"/>
      <c r="K368" s="8"/>
      <c r="L368" s="8"/>
      <c r="M368" s="8"/>
      <c r="N368" s="8"/>
      <c r="O368" s="8"/>
      <c r="P368" s="8"/>
      <c r="Q368" s="8"/>
    </row>
    <row r="369" spans="9:17" s="1" customFormat="1" x14ac:dyDescent="0.25">
      <c r="I369" s="8"/>
      <c r="K369" s="8"/>
      <c r="L369" s="8"/>
      <c r="M369" s="8"/>
      <c r="N369" s="8"/>
      <c r="O369" s="8"/>
      <c r="P369" s="8"/>
      <c r="Q369" s="8"/>
    </row>
    <row r="370" spans="9:17" s="1" customFormat="1" x14ac:dyDescent="0.25">
      <c r="I370" s="8"/>
      <c r="K370" s="8"/>
      <c r="L370" s="8"/>
      <c r="M370" s="8"/>
      <c r="N370" s="8"/>
      <c r="O370" s="8"/>
      <c r="P370" s="8"/>
      <c r="Q370" s="8"/>
    </row>
    <row r="371" spans="9:17" s="1" customFormat="1" x14ac:dyDescent="0.25">
      <c r="I371" s="8"/>
      <c r="K371" s="8"/>
      <c r="L371" s="8"/>
      <c r="M371" s="8"/>
      <c r="N371" s="8"/>
      <c r="O371" s="8"/>
      <c r="P371" s="8"/>
      <c r="Q371" s="8"/>
    </row>
    <row r="372" spans="9:17" s="1" customFormat="1" x14ac:dyDescent="0.25">
      <c r="I372" s="8"/>
      <c r="K372" s="8"/>
      <c r="L372" s="8"/>
      <c r="M372" s="8"/>
      <c r="N372" s="8"/>
      <c r="O372" s="8"/>
      <c r="P372" s="8"/>
      <c r="Q372" s="8"/>
    </row>
    <row r="373" spans="9:17" s="1" customFormat="1" x14ac:dyDescent="0.25">
      <c r="I373" s="8"/>
      <c r="K373" s="8"/>
      <c r="L373" s="8"/>
      <c r="M373" s="8"/>
      <c r="N373" s="8"/>
      <c r="O373" s="8"/>
      <c r="P373" s="8"/>
      <c r="Q373" s="8"/>
    </row>
    <row r="374" spans="9:17" s="1" customFormat="1" x14ac:dyDescent="0.25">
      <c r="I374" s="8"/>
      <c r="K374" s="8"/>
      <c r="L374" s="8"/>
      <c r="M374" s="8"/>
      <c r="N374" s="8"/>
      <c r="O374" s="8"/>
      <c r="P374" s="8"/>
      <c r="Q374" s="8"/>
    </row>
    <row r="375" spans="9:17" s="1" customFormat="1" x14ac:dyDescent="0.25">
      <c r="I375" s="8"/>
      <c r="K375" s="8"/>
      <c r="L375" s="8"/>
      <c r="M375" s="8"/>
      <c r="N375" s="8"/>
      <c r="O375" s="8"/>
      <c r="P375" s="8"/>
      <c r="Q375" s="8"/>
    </row>
    <row r="376" spans="9:17" s="1" customFormat="1" x14ac:dyDescent="0.25">
      <c r="I376" s="8"/>
      <c r="K376" s="8"/>
      <c r="L376" s="8"/>
      <c r="M376" s="8"/>
      <c r="N376" s="8"/>
      <c r="O376" s="8"/>
      <c r="P376" s="8"/>
      <c r="Q376" s="8"/>
    </row>
    <row r="377" spans="9:17" s="1" customFormat="1" x14ac:dyDescent="0.25">
      <c r="I377" s="8"/>
      <c r="K377" s="8"/>
      <c r="L377" s="8"/>
      <c r="M377" s="8"/>
      <c r="N377" s="8"/>
      <c r="O377" s="8"/>
      <c r="P377" s="8"/>
      <c r="Q377" s="8"/>
    </row>
    <row r="378" spans="9:17" s="1" customFormat="1" x14ac:dyDescent="0.25">
      <c r="I378" s="8"/>
      <c r="K378" s="8"/>
      <c r="L378" s="8"/>
      <c r="M378" s="8"/>
      <c r="N378" s="8"/>
      <c r="O378" s="8"/>
      <c r="P378" s="8"/>
      <c r="Q378" s="8"/>
    </row>
    <row r="379" spans="9:17" s="1" customFormat="1" x14ac:dyDescent="0.25">
      <c r="I379" s="8"/>
      <c r="K379" s="8"/>
      <c r="L379" s="8"/>
      <c r="M379" s="8"/>
      <c r="N379" s="8"/>
      <c r="O379" s="8"/>
      <c r="P379" s="8"/>
      <c r="Q379" s="8"/>
    </row>
    <row r="380" spans="9:17" s="1" customFormat="1" x14ac:dyDescent="0.25">
      <c r="I380" s="8"/>
      <c r="K380" s="8"/>
      <c r="L380" s="8"/>
      <c r="M380" s="8"/>
      <c r="N380" s="8"/>
      <c r="O380" s="8"/>
      <c r="P380" s="8"/>
      <c r="Q380" s="8"/>
    </row>
    <row r="381" spans="9:17" s="1" customFormat="1" x14ac:dyDescent="0.25">
      <c r="I381" s="8"/>
      <c r="K381" s="8"/>
      <c r="L381" s="8"/>
      <c r="M381" s="8"/>
      <c r="N381" s="8"/>
      <c r="O381" s="8"/>
      <c r="P381" s="8"/>
      <c r="Q381" s="8"/>
    </row>
    <row r="382" spans="9:17" s="1" customFormat="1" x14ac:dyDescent="0.25">
      <c r="I382" s="8"/>
      <c r="K382" s="8"/>
      <c r="L382" s="8"/>
      <c r="M382" s="8"/>
      <c r="N382" s="8"/>
      <c r="O382" s="8"/>
      <c r="P382" s="8"/>
      <c r="Q382" s="8"/>
    </row>
    <row r="383" spans="9:17" s="1" customFormat="1" x14ac:dyDescent="0.25">
      <c r="I383" s="8"/>
      <c r="K383" s="8"/>
      <c r="L383" s="8"/>
      <c r="M383" s="8"/>
      <c r="N383" s="8"/>
      <c r="O383" s="8"/>
      <c r="P383" s="8"/>
      <c r="Q383" s="8"/>
    </row>
    <row r="384" spans="9:17" s="1" customFormat="1" x14ac:dyDescent="0.25">
      <c r="I384" s="8"/>
      <c r="K384" s="8"/>
      <c r="L384" s="8"/>
      <c r="M384" s="8"/>
      <c r="N384" s="8"/>
      <c r="O384" s="8"/>
      <c r="P384" s="8"/>
      <c r="Q384" s="8"/>
    </row>
    <row r="385" spans="9:17" s="1" customFormat="1" x14ac:dyDescent="0.25">
      <c r="I385" s="8"/>
      <c r="K385" s="8"/>
      <c r="L385" s="8"/>
      <c r="M385" s="8"/>
      <c r="N385" s="8"/>
      <c r="O385" s="8"/>
      <c r="P385" s="8"/>
      <c r="Q385" s="8"/>
    </row>
    <row r="386" spans="9:17" s="1" customFormat="1" x14ac:dyDescent="0.25">
      <c r="I386" s="8"/>
      <c r="K386" s="8"/>
      <c r="L386" s="8"/>
      <c r="M386" s="8"/>
      <c r="N386" s="8"/>
      <c r="O386" s="8"/>
      <c r="P386" s="8"/>
      <c r="Q386" s="8"/>
    </row>
    <row r="387" spans="9:17" s="1" customFormat="1" x14ac:dyDescent="0.25">
      <c r="I387" s="8"/>
      <c r="K387" s="8"/>
      <c r="L387" s="8"/>
      <c r="M387" s="8"/>
      <c r="N387" s="8"/>
      <c r="O387" s="8"/>
      <c r="P387" s="8"/>
      <c r="Q387" s="8"/>
    </row>
    <row r="388" spans="9:17" s="1" customFormat="1" x14ac:dyDescent="0.25">
      <c r="I388" s="8"/>
      <c r="K388" s="8"/>
      <c r="L388" s="8"/>
      <c r="M388" s="8"/>
      <c r="N388" s="8"/>
      <c r="O388" s="8"/>
      <c r="P388" s="8"/>
      <c r="Q388" s="8"/>
    </row>
    <row r="389" spans="9:17" s="1" customFormat="1" x14ac:dyDescent="0.25">
      <c r="I389" s="8"/>
      <c r="K389" s="8"/>
      <c r="L389" s="8"/>
      <c r="M389" s="8"/>
      <c r="N389" s="8"/>
      <c r="O389" s="8"/>
      <c r="P389" s="8"/>
      <c r="Q389" s="8"/>
    </row>
    <row r="390" spans="9:17" s="1" customFormat="1" x14ac:dyDescent="0.25">
      <c r="I390" s="8"/>
      <c r="K390" s="8"/>
      <c r="L390" s="8"/>
      <c r="M390" s="8"/>
      <c r="N390" s="8"/>
      <c r="O390" s="8"/>
      <c r="P390" s="8"/>
      <c r="Q390" s="8"/>
    </row>
    <row r="391" spans="9:17" s="1" customFormat="1" x14ac:dyDescent="0.25">
      <c r="I391" s="8"/>
      <c r="K391" s="8"/>
      <c r="L391" s="8"/>
      <c r="M391" s="8"/>
      <c r="N391" s="8"/>
      <c r="O391" s="8"/>
      <c r="P391" s="8"/>
      <c r="Q391" s="8"/>
    </row>
    <row r="392" spans="9:17" s="1" customFormat="1" x14ac:dyDescent="0.25">
      <c r="I392" s="8"/>
      <c r="K392" s="8"/>
      <c r="L392" s="8"/>
      <c r="M392" s="8"/>
      <c r="N392" s="8"/>
      <c r="O392" s="8"/>
      <c r="P392" s="8"/>
      <c r="Q392" s="8"/>
    </row>
    <row r="393" spans="9:17" s="1" customFormat="1" x14ac:dyDescent="0.25">
      <c r="I393" s="8"/>
      <c r="K393" s="8"/>
      <c r="L393" s="8"/>
      <c r="M393" s="8"/>
      <c r="N393" s="8"/>
      <c r="O393" s="8"/>
      <c r="P393" s="8"/>
      <c r="Q393" s="8"/>
    </row>
    <row r="394" spans="9:17" s="1" customFormat="1" x14ac:dyDescent="0.25">
      <c r="I394" s="8"/>
      <c r="K394" s="8"/>
      <c r="L394" s="8"/>
      <c r="M394" s="8"/>
      <c r="N394" s="8"/>
      <c r="O394" s="8"/>
      <c r="P394" s="8"/>
      <c r="Q394" s="8"/>
    </row>
    <row r="395" spans="9:17" s="1" customFormat="1" x14ac:dyDescent="0.25">
      <c r="I395" s="8"/>
      <c r="K395" s="8"/>
      <c r="L395" s="8"/>
      <c r="M395" s="8"/>
      <c r="N395" s="8"/>
      <c r="O395" s="8"/>
      <c r="P395" s="8"/>
      <c r="Q395" s="8"/>
    </row>
    <row r="396" spans="9:17" s="1" customFormat="1" x14ac:dyDescent="0.25">
      <c r="I396" s="8"/>
      <c r="K396" s="8"/>
      <c r="L396" s="8"/>
      <c r="M396" s="8"/>
      <c r="N396" s="8"/>
      <c r="O396" s="8"/>
      <c r="P396" s="8"/>
      <c r="Q396" s="8"/>
    </row>
    <row r="397" spans="9:17" s="1" customFormat="1" x14ac:dyDescent="0.25">
      <c r="I397" s="8"/>
      <c r="K397" s="8"/>
      <c r="L397" s="8"/>
      <c r="M397" s="8"/>
      <c r="N397" s="8"/>
      <c r="O397" s="8"/>
      <c r="P397" s="8"/>
      <c r="Q397" s="8"/>
    </row>
    <row r="398" spans="9:17" s="1" customFormat="1" x14ac:dyDescent="0.25">
      <c r="I398" s="8"/>
      <c r="K398" s="8"/>
      <c r="L398" s="8"/>
      <c r="M398" s="8"/>
      <c r="N398" s="8"/>
      <c r="O398" s="8"/>
      <c r="P398" s="8"/>
      <c r="Q398" s="8"/>
    </row>
    <row r="399" spans="9:17" s="1" customFormat="1" x14ac:dyDescent="0.25">
      <c r="I399" s="8"/>
      <c r="K399" s="8"/>
      <c r="L399" s="8"/>
      <c r="M399" s="8"/>
      <c r="N399" s="8"/>
      <c r="O399" s="8"/>
      <c r="P399" s="8"/>
      <c r="Q399" s="8"/>
    </row>
    <row r="400" spans="9:17" s="1" customFormat="1" x14ac:dyDescent="0.25">
      <c r="I400" s="8"/>
      <c r="K400" s="8"/>
      <c r="L400" s="8"/>
      <c r="M400" s="8"/>
      <c r="N400" s="8"/>
      <c r="O400" s="8"/>
      <c r="P400" s="8"/>
      <c r="Q400" s="8"/>
    </row>
    <row r="401" spans="9:17" s="1" customFormat="1" x14ac:dyDescent="0.25">
      <c r="I401" s="8"/>
      <c r="K401" s="8"/>
      <c r="L401" s="8"/>
      <c r="M401" s="8"/>
      <c r="N401" s="8"/>
      <c r="O401" s="8"/>
      <c r="P401" s="8"/>
      <c r="Q401" s="8"/>
    </row>
    <row r="402" spans="9:17" s="1" customFormat="1" x14ac:dyDescent="0.25">
      <c r="I402" s="8"/>
      <c r="K402" s="8"/>
      <c r="L402" s="8"/>
      <c r="M402" s="8"/>
      <c r="N402" s="8"/>
      <c r="O402" s="8"/>
      <c r="P402" s="8"/>
      <c r="Q402" s="8"/>
    </row>
    <row r="403" spans="9:17" s="1" customFormat="1" x14ac:dyDescent="0.25">
      <c r="I403" s="8"/>
      <c r="K403" s="8"/>
      <c r="L403" s="8"/>
      <c r="M403" s="8"/>
      <c r="N403" s="8"/>
      <c r="O403" s="8"/>
      <c r="P403" s="8"/>
      <c r="Q403" s="8"/>
    </row>
    <row r="404" spans="9:17" s="1" customFormat="1" x14ac:dyDescent="0.25">
      <c r="I404" s="8"/>
      <c r="K404" s="8"/>
      <c r="L404" s="8"/>
      <c r="M404" s="8"/>
      <c r="N404" s="8"/>
      <c r="O404" s="8"/>
      <c r="P404" s="8"/>
      <c r="Q404" s="8"/>
    </row>
    <row r="405" spans="9:17" s="1" customFormat="1" x14ac:dyDescent="0.25">
      <c r="I405" s="8"/>
      <c r="K405" s="8"/>
      <c r="L405" s="8"/>
      <c r="M405" s="8"/>
      <c r="N405" s="8"/>
      <c r="O405" s="8"/>
      <c r="P405" s="8"/>
      <c r="Q405" s="8"/>
    </row>
    <row r="406" spans="9:17" s="1" customFormat="1" x14ac:dyDescent="0.25">
      <c r="I406" s="8"/>
      <c r="K406" s="8"/>
      <c r="L406" s="8"/>
      <c r="M406" s="8"/>
      <c r="N406" s="8"/>
      <c r="O406" s="8"/>
      <c r="P406" s="8"/>
      <c r="Q406" s="8"/>
    </row>
    <row r="407" spans="9:17" s="1" customFormat="1" x14ac:dyDescent="0.25">
      <c r="I407" s="8"/>
      <c r="K407" s="8"/>
      <c r="L407" s="8"/>
      <c r="M407" s="8"/>
      <c r="N407" s="8"/>
      <c r="O407" s="8"/>
      <c r="P407" s="8"/>
      <c r="Q407" s="8"/>
    </row>
    <row r="408" spans="9:17" s="1" customFormat="1" x14ac:dyDescent="0.25">
      <c r="I408" s="8"/>
      <c r="K408" s="8"/>
      <c r="L408" s="8"/>
      <c r="M408" s="8"/>
      <c r="N408" s="8"/>
      <c r="O408" s="8"/>
      <c r="P408" s="8"/>
      <c r="Q408" s="8"/>
    </row>
    <row r="409" spans="9:17" s="1" customFormat="1" x14ac:dyDescent="0.25">
      <c r="I409" s="8"/>
      <c r="K409" s="8"/>
      <c r="L409" s="8"/>
      <c r="M409" s="8"/>
      <c r="N409" s="8"/>
      <c r="O409" s="8"/>
      <c r="P409" s="8"/>
      <c r="Q409" s="8"/>
    </row>
    <row r="410" spans="9:17" s="1" customFormat="1" x14ac:dyDescent="0.25">
      <c r="I410" s="8"/>
      <c r="K410" s="8"/>
      <c r="L410" s="8"/>
      <c r="M410" s="8"/>
      <c r="N410" s="8"/>
      <c r="O410" s="8"/>
      <c r="P410" s="8"/>
      <c r="Q410" s="8"/>
    </row>
    <row r="411" spans="9:17" s="1" customFormat="1" x14ac:dyDescent="0.25">
      <c r="I411" s="8"/>
      <c r="K411" s="8"/>
      <c r="L411" s="8"/>
      <c r="M411" s="8"/>
      <c r="N411" s="8"/>
      <c r="O411" s="8"/>
      <c r="P411" s="8"/>
      <c r="Q411" s="8"/>
    </row>
    <row r="412" spans="9:17" s="1" customFormat="1" x14ac:dyDescent="0.25">
      <c r="I412" s="8"/>
      <c r="K412" s="8"/>
      <c r="L412" s="8"/>
      <c r="M412" s="8"/>
      <c r="N412" s="8"/>
      <c r="O412" s="8"/>
      <c r="P412" s="8"/>
      <c r="Q412" s="8"/>
    </row>
    <row r="413" spans="9:17" s="1" customFormat="1" x14ac:dyDescent="0.25">
      <c r="I413" s="8"/>
      <c r="K413" s="8"/>
      <c r="L413" s="8"/>
      <c r="M413" s="8"/>
      <c r="N413" s="8"/>
      <c r="O413" s="8"/>
      <c r="P413" s="8"/>
      <c r="Q413" s="8"/>
    </row>
    <row r="414" spans="9:17" s="1" customFormat="1" x14ac:dyDescent="0.25">
      <c r="I414" s="8"/>
      <c r="K414" s="8"/>
      <c r="L414" s="8"/>
      <c r="M414" s="8"/>
      <c r="N414" s="8"/>
      <c r="O414" s="8"/>
      <c r="P414" s="8"/>
      <c r="Q414" s="8"/>
    </row>
    <row r="415" spans="9:17" s="1" customFormat="1" x14ac:dyDescent="0.25">
      <c r="I415" s="8"/>
      <c r="K415" s="8"/>
      <c r="L415" s="8"/>
      <c r="M415" s="8"/>
      <c r="N415" s="8"/>
      <c r="O415" s="8"/>
      <c r="P415" s="8"/>
      <c r="Q415" s="8"/>
    </row>
    <row r="416" spans="9:17" s="1" customFormat="1" x14ac:dyDescent="0.25">
      <c r="I416" s="8"/>
      <c r="K416" s="8"/>
      <c r="L416" s="8"/>
      <c r="M416" s="8"/>
      <c r="N416" s="8"/>
      <c r="O416" s="8"/>
      <c r="P416" s="8"/>
      <c r="Q416" s="8"/>
    </row>
    <row r="417" spans="9:17" s="1" customFormat="1" x14ac:dyDescent="0.25">
      <c r="I417" s="8"/>
      <c r="K417" s="8"/>
      <c r="L417" s="8"/>
      <c r="M417" s="8"/>
      <c r="N417" s="8"/>
      <c r="O417" s="8"/>
      <c r="P417" s="8"/>
      <c r="Q417" s="8"/>
    </row>
    <row r="418" spans="9:17" s="1" customFormat="1" x14ac:dyDescent="0.25">
      <c r="I418" s="8"/>
      <c r="K418" s="8"/>
      <c r="L418" s="8"/>
      <c r="M418" s="8"/>
      <c r="N418" s="8"/>
      <c r="O418" s="8"/>
      <c r="P418" s="8"/>
      <c r="Q418" s="8"/>
    </row>
    <row r="419" spans="9:17" s="1" customFormat="1" x14ac:dyDescent="0.25">
      <c r="I419" s="8"/>
      <c r="K419" s="8"/>
      <c r="L419" s="8"/>
      <c r="M419" s="8"/>
      <c r="N419" s="8"/>
      <c r="O419" s="8"/>
      <c r="P419" s="8"/>
      <c r="Q419" s="8"/>
    </row>
    <row r="420" spans="9:17" s="1" customFormat="1" x14ac:dyDescent="0.25">
      <c r="I420" s="8"/>
      <c r="K420" s="8"/>
      <c r="L420" s="8"/>
      <c r="M420" s="8"/>
      <c r="N420" s="8"/>
      <c r="O420" s="8"/>
      <c r="P420" s="8"/>
      <c r="Q420" s="8"/>
    </row>
    <row r="421" spans="9:17" s="1" customFormat="1" x14ac:dyDescent="0.25">
      <c r="I421" s="8"/>
      <c r="K421" s="8"/>
      <c r="L421" s="8"/>
      <c r="M421" s="8"/>
      <c r="N421" s="8"/>
      <c r="O421" s="8"/>
      <c r="P421" s="8"/>
      <c r="Q421" s="8"/>
    </row>
    <row r="422" spans="9:17" s="1" customFormat="1" x14ac:dyDescent="0.25">
      <c r="I422" s="8"/>
      <c r="K422" s="8"/>
      <c r="L422" s="8"/>
      <c r="M422" s="8"/>
      <c r="N422" s="8"/>
      <c r="O422" s="8"/>
      <c r="P422" s="8"/>
      <c r="Q422" s="8"/>
    </row>
    <row r="423" spans="9:17" s="1" customFormat="1" x14ac:dyDescent="0.25">
      <c r="I423" s="8"/>
      <c r="K423" s="8"/>
      <c r="L423" s="8"/>
      <c r="M423" s="8"/>
      <c r="N423" s="8"/>
      <c r="O423" s="8"/>
      <c r="P423" s="8"/>
      <c r="Q423" s="8"/>
    </row>
    <row r="424" spans="9:17" s="1" customFormat="1" x14ac:dyDescent="0.25">
      <c r="I424" s="8"/>
      <c r="K424" s="8"/>
      <c r="L424" s="8"/>
      <c r="M424" s="8"/>
      <c r="N424" s="8"/>
      <c r="O424" s="8"/>
      <c r="P424" s="8"/>
      <c r="Q424" s="8"/>
    </row>
    <row r="425" spans="9:17" s="1" customFormat="1" x14ac:dyDescent="0.25">
      <c r="I425" s="8"/>
      <c r="K425" s="8"/>
      <c r="L425" s="8"/>
      <c r="M425" s="8"/>
      <c r="N425" s="8"/>
      <c r="O425" s="8"/>
      <c r="P425" s="8"/>
      <c r="Q425" s="8"/>
    </row>
    <row r="426" spans="9:17" s="1" customFormat="1" x14ac:dyDescent="0.25">
      <c r="I426" s="8"/>
      <c r="K426" s="8"/>
      <c r="L426" s="8"/>
      <c r="M426" s="8"/>
      <c r="N426" s="8"/>
      <c r="O426" s="8"/>
      <c r="P426" s="8"/>
      <c r="Q426" s="8"/>
    </row>
    <row r="427" spans="9:17" s="1" customFormat="1" x14ac:dyDescent="0.25">
      <c r="I427" s="8"/>
      <c r="K427" s="8"/>
      <c r="L427" s="8"/>
      <c r="M427" s="8"/>
      <c r="N427" s="8"/>
      <c r="O427" s="8"/>
      <c r="P427" s="8"/>
      <c r="Q427" s="8"/>
    </row>
    <row r="428" spans="9:17" s="1" customFormat="1" x14ac:dyDescent="0.25">
      <c r="I428" s="8"/>
      <c r="K428" s="8"/>
      <c r="L428" s="8"/>
      <c r="M428" s="8"/>
      <c r="N428" s="8"/>
      <c r="O428" s="8"/>
      <c r="P428" s="8"/>
      <c r="Q428" s="8"/>
    </row>
    <row r="429" spans="9:17" s="1" customFormat="1" x14ac:dyDescent="0.25">
      <c r="I429" s="8"/>
      <c r="K429" s="8"/>
      <c r="L429" s="8"/>
      <c r="M429" s="8"/>
      <c r="N429" s="8"/>
      <c r="O429" s="8"/>
      <c r="P429" s="8"/>
      <c r="Q429" s="8"/>
    </row>
    <row r="430" spans="9:17" s="1" customFormat="1" x14ac:dyDescent="0.25">
      <c r="I430" s="8"/>
      <c r="K430" s="8"/>
      <c r="L430" s="8"/>
      <c r="M430" s="8"/>
      <c r="N430" s="8"/>
      <c r="O430" s="8"/>
      <c r="P430" s="8"/>
      <c r="Q430" s="8"/>
    </row>
    <row r="431" spans="9:17" s="1" customFormat="1" x14ac:dyDescent="0.25">
      <c r="I431" s="8"/>
      <c r="K431" s="8"/>
      <c r="L431" s="8"/>
      <c r="M431" s="8"/>
      <c r="N431" s="8"/>
      <c r="O431" s="8"/>
      <c r="P431" s="8"/>
      <c r="Q431" s="8"/>
    </row>
    <row r="432" spans="9:17" s="1" customFormat="1" x14ac:dyDescent="0.25">
      <c r="I432" s="8"/>
      <c r="K432" s="8"/>
      <c r="L432" s="8"/>
      <c r="M432" s="8"/>
      <c r="N432" s="8"/>
      <c r="O432" s="8"/>
      <c r="P432" s="8"/>
      <c r="Q432" s="8"/>
    </row>
    <row r="433" spans="9:17" s="1" customFormat="1" x14ac:dyDescent="0.25">
      <c r="I433" s="8"/>
      <c r="K433" s="8"/>
      <c r="L433" s="8"/>
      <c r="M433" s="8"/>
      <c r="N433" s="8"/>
      <c r="O433" s="8"/>
      <c r="P433" s="8"/>
      <c r="Q433" s="8"/>
    </row>
    <row r="434" spans="9:17" s="1" customFormat="1" x14ac:dyDescent="0.25">
      <c r="I434" s="8"/>
      <c r="K434" s="8"/>
      <c r="L434" s="8"/>
      <c r="M434" s="8"/>
      <c r="N434" s="8"/>
      <c r="O434" s="8"/>
      <c r="P434" s="8"/>
      <c r="Q434" s="8"/>
    </row>
    <row r="435" spans="9:17" s="1" customFormat="1" x14ac:dyDescent="0.25">
      <c r="I435" s="8"/>
      <c r="K435" s="8"/>
      <c r="L435" s="8"/>
      <c r="M435" s="8"/>
      <c r="N435" s="8"/>
      <c r="O435" s="8"/>
      <c r="P435" s="8"/>
      <c r="Q435" s="8"/>
    </row>
    <row r="436" spans="9:17" s="1" customFormat="1" x14ac:dyDescent="0.25">
      <c r="I436" s="8"/>
      <c r="K436" s="8"/>
      <c r="L436" s="8"/>
      <c r="M436" s="8"/>
      <c r="N436" s="8"/>
      <c r="O436" s="8"/>
      <c r="P436" s="8"/>
      <c r="Q436" s="8"/>
    </row>
    <row r="437" spans="9:17" s="1" customFormat="1" x14ac:dyDescent="0.25">
      <c r="I437" s="8"/>
      <c r="K437" s="8"/>
      <c r="L437" s="8"/>
      <c r="M437" s="8"/>
      <c r="N437" s="8"/>
      <c r="O437" s="8"/>
      <c r="P437" s="8"/>
      <c r="Q437" s="8"/>
    </row>
    <row r="438" spans="9:17" s="1" customFormat="1" x14ac:dyDescent="0.25">
      <c r="I438" s="8"/>
      <c r="K438" s="8"/>
      <c r="L438" s="8"/>
      <c r="M438" s="8"/>
      <c r="N438" s="8"/>
      <c r="O438" s="8"/>
      <c r="P438" s="8"/>
      <c r="Q438" s="8"/>
    </row>
    <row r="439" spans="9:17" s="1" customFormat="1" x14ac:dyDescent="0.25">
      <c r="I439" s="8"/>
      <c r="K439" s="8"/>
      <c r="L439" s="8"/>
      <c r="M439" s="8"/>
      <c r="N439" s="8"/>
      <c r="O439" s="8"/>
      <c r="P439" s="8"/>
      <c r="Q439" s="8"/>
    </row>
    <row r="440" spans="9:17" s="1" customFormat="1" x14ac:dyDescent="0.25">
      <c r="I440" s="8"/>
      <c r="K440" s="8"/>
      <c r="L440" s="8"/>
      <c r="M440" s="8"/>
      <c r="N440" s="8"/>
      <c r="O440" s="8"/>
      <c r="P440" s="8"/>
      <c r="Q440" s="8"/>
    </row>
    <row r="441" spans="9:17" s="1" customFormat="1" x14ac:dyDescent="0.25">
      <c r="I441" s="8"/>
      <c r="K441" s="8"/>
      <c r="L441" s="8"/>
      <c r="M441" s="8"/>
      <c r="N441" s="8"/>
      <c r="O441" s="8"/>
      <c r="P441" s="8"/>
      <c r="Q441" s="8"/>
    </row>
    <row r="442" spans="9:17" s="1" customFormat="1" x14ac:dyDescent="0.25">
      <c r="I442" s="8"/>
      <c r="K442" s="8"/>
      <c r="L442" s="8"/>
      <c r="M442" s="8"/>
      <c r="N442" s="8"/>
      <c r="O442" s="8"/>
      <c r="P442" s="8"/>
      <c r="Q442" s="8"/>
    </row>
    <row r="443" spans="9:17" s="1" customFormat="1" x14ac:dyDescent="0.25">
      <c r="I443" s="8"/>
      <c r="K443" s="8"/>
      <c r="L443" s="8"/>
      <c r="M443" s="8"/>
      <c r="N443" s="8"/>
      <c r="O443" s="8"/>
      <c r="P443" s="8"/>
      <c r="Q443" s="8"/>
    </row>
    <row r="444" spans="9:17" s="1" customFormat="1" x14ac:dyDescent="0.25">
      <c r="I444" s="8"/>
      <c r="K444" s="8"/>
      <c r="L444" s="8"/>
      <c r="M444" s="8"/>
      <c r="N444" s="8"/>
      <c r="O444" s="8"/>
      <c r="P444" s="8"/>
      <c r="Q444" s="8"/>
    </row>
    <row r="445" spans="9:17" s="1" customFormat="1" x14ac:dyDescent="0.25">
      <c r="I445" s="8"/>
      <c r="K445" s="8"/>
      <c r="L445" s="8"/>
      <c r="M445" s="8"/>
      <c r="N445" s="8"/>
      <c r="O445" s="8"/>
      <c r="P445" s="8"/>
      <c r="Q445" s="8"/>
    </row>
    <row r="446" spans="9:17" s="1" customFormat="1" x14ac:dyDescent="0.25">
      <c r="I446" s="8"/>
      <c r="K446" s="8"/>
      <c r="L446" s="8"/>
      <c r="M446" s="8"/>
      <c r="N446" s="8"/>
      <c r="O446" s="8"/>
      <c r="P446" s="8"/>
      <c r="Q446" s="8"/>
    </row>
    <row r="447" spans="9:17" s="1" customFormat="1" x14ac:dyDescent="0.25">
      <c r="I447" s="8"/>
      <c r="K447" s="8"/>
      <c r="L447" s="8"/>
      <c r="M447" s="8"/>
      <c r="N447" s="8"/>
      <c r="O447" s="8"/>
      <c r="P447" s="8"/>
      <c r="Q447" s="8"/>
    </row>
    <row r="448" spans="9:17" s="1" customFormat="1" x14ac:dyDescent="0.25">
      <c r="I448" s="8"/>
      <c r="K448" s="8"/>
      <c r="L448" s="8"/>
      <c r="M448" s="8"/>
      <c r="N448" s="8"/>
      <c r="O448" s="8"/>
      <c r="P448" s="8"/>
      <c r="Q448" s="8"/>
    </row>
    <row r="449" spans="9:17" s="1" customFormat="1" x14ac:dyDescent="0.25">
      <c r="I449" s="8"/>
      <c r="K449" s="8"/>
      <c r="L449" s="8"/>
      <c r="M449" s="8"/>
      <c r="N449" s="8"/>
      <c r="O449" s="8"/>
      <c r="P449" s="8"/>
      <c r="Q449" s="8"/>
    </row>
    <row r="450" spans="9:17" s="1" customFormat="1" x14ac:dyDescent="0.25">
      <c r="I450" s="8"/>
      <c r="K450" s="8"/>
      <c r="L450" s="8"/>
      <c r="M450" s="8"/>
      <c r="N450" s="8"/>
      <c r="O450" s="8"/>
      <c r="P450" s="8"/>
      <c r="Q450" s="8"/>
    </row>
    <row r="451" spans="9:17" s="1" customFormat="1" x14ac:dyDescent="0.25">
      <c r="I451" s="8"/>
      <c r="K451" s="8"/>
      <c r="L451" s="8"/>
      <c r="M451" s="8"/>
      <c r="N451" s="8"/>
      <c r="O451" s="8"/>
      <c r="P451" s="8"/>
      <c r="Q451" s="8"/>
    </row>
    <row r="452" spans="9:17" s="1" customFormat="1" x14ac:dyDescent="0.25">
      <c r="I452" s="8"/>
      <c r="K452" s="8"/>
      <c r="L452" s="8"/>
      <c r="M452" s="8"/>
      <c r="N452" s="8"/>
      <c r="O452" s="8"/>
      <c r="P452" s="8"/>
      <c r="Q452" s="8"/>
    </row>
    <row r="453" spans="9:17" s="1" customFormat="1" x14ac:dyDescent="0.25">
      <c r="I453" s="8"/>
      <c r="K453" s="8"/>
      <c r="L453" s="8"/>
      <c r="M453" s="8"/>
      <c r="N453" s="8"/>
      <c r="O453" s="8"/>
      <c r="P453" s="8"/>
      <c r="Q453" s="8"/>
    </row>
    <row r="454" spans="9:17" s="1" customFormat="1" x14ac:dyDescent="0.25">
      <c r="I454" s="8"/>
      <c r="K454" s="8"/>
      <c r="L454" s="8"/>
      <c r="M454" s="8"/>
      <c r="N454" s="8"/>
      <c r="O454" s="8"/>
      <c r="P454" s="8"/>
      <c r="Q454" s="8"/>
    </row>
    <row r="455" spans="9:17" s="1" customFormat="1" x14ac:dyDescent="0.25">
      <c r="I455" s="8"/>
      <c r="K455" s="8"/>
      <c r="L455" s="8"/>
      <c r="M455" s="8"/>
      <c r="N455" s="8"/>
      <c r="O455" s="8"/>
      <c r="P455" s="8"/>
      <c r="Q455" s="8"/>
    </row>
    <row r="456" spans="9:17" s="1" customFormat="1" x14ac:dyDescent="0.25">
      <c r="I456" s="8"/>
      <c r="K456" s="8"/>
      <c r="L456" s="8"/>
      <c r="M456" s="8"/>
      <c r="N456" s="8"/>
      <c r="O456" s="8"/>
      <c r="P456" s="8"/>
      <c r="Q456" s="8"/>
    </row>
    <row r="457" spans="9:17" s="1" customFormat="1" x14ac:dyDescent="0.25">
      <c r="I457" s="8"/>
      <c r="K457" s="8"/>
      <c r="L457" s="8"/>
      <c r="M457" s="8"/>
      <c r="N457" s="8"/>
      <c r="O457" s="8"/>
      <c r="P457" s="8"/>
      <c r="Q457" s="8"/>
    </row>
    <row r="458" spans="9:17" s="1" customFormat="1" x14ac:dyDescent="0.25">
      <c r="I458" s="8"/>
      <c r="K458" s="8"/>
      <c r="L458" s="8"/>
      <c r="M458" s="8"/>
      <c r="N458" s="8"/>
      <c r="O458" s="8"/>
      <c r="P458" s="8"/>
      <c r="Q458" s="8"/>
    </row>
    <row r="459" spans="9:17" s="1" customFormat="1" x14ac:dyDescent="0.25">
      <c r="I459" s="8"/>
      <c r="K459" s="8"/>
      <c r="L459" s="8"/>
      <c r="M459" s="8"/>
      <c r="N459" s="8"/>
      <c r="O459" s="8"/>
      <c r="P459" s="8"/>
      <c r="Q459" s="8"/>
    </row>
    <row r="460" spans="9:17" s="1" customFormat="1" x14ac:dyDescent="0.25">
      <c r="I460" s="8"/>
      <c r="K460" s="8"/>
      <c r="L460" s="8"/>
      <c r="M460" s="8"/>
      <c r="N460" s="8"/>
      <c r="O460" s="8"/>
      <c r="P460" s="8"/>
      <c r="Q460" s="8"/>
    </row>
    <row r="461" spans="9:17" s="1" customFormat="1" x14ac:dyDescent="0.25">
      <c r="I461" s="8"/>
      <c r="K461" s="8"/>
      <c r="L461" s="8"/>
      <c r="M461" s="8"/>
      <c r="N461" s="8"/>
      <c r="O461" s="8"/>
      <c r="P461" s="8"/>
      <c r="Q461" s="8"/>
    </row>
    <row r="462" spans="9:17" s="1" customFormat="1" x14ac:dyDescent="0.25">
      <c r="I462" s="8"/>
      <c r="K462" s="8"/>
      <c r="L462" s="8"/>
      <c r="M462" s="8"/>
      <c r="N462" s="8"/>
      <c r="O462" s="8"/>
      <c r="P462" s="8"/>
      <c r="Q462" s="8"/>
    </row>
    <row r="463" spans="9:17" s="1" customFormat="1" x14ac:dyDescent="0.25">
      <c r="I463" s="8"/>
      <c r="K463" s="8"/>
      <c r="L463" s="8"/>
      <c r="M463" s="8"/>
      <c r="N463" s="8"/>
      <c r="O463" s="8"/>
      <c r="P463" s="8"/>
      <c r="Q463" s="8"/>
    </row>
    <row r="464" spans="9:17" s="1" customFormat="1" x14ac:dyDescent="0.25">
      <c r="I464" s="8"/>
      <c r="K464" s="8"/>
      <c r="L464" s="8"/>
      <c r="M464" s="8"/>
      <c r="N464" s="8"/>
      <c r="O464" s="8"/>
      <c r="P464" s="8"/>
      <c r="Q464" s="8"/>
    </row>
    <row r="465" spans="9:17" s="1" customFormat="1" x14ac:dyDescent="0.25">
      <c r="I465" s="8"/>
      <c r="K465" s="8"/>
      <c r="L465" s="8"/>
      <c r="M465" s="8"/>
      <c r="N465" s="8"/>
      <c r="O465" s="8"/>
      <c r="P465" s="8"/>
      <c r="Q465" s="8"/>
    </row>
    <row r="466" spans="9:17" s="1" customFormat="1" x14ac:dyDescent="0.25">
      <c r="I466" s="8"/>
      <c r="K466" s="8"/>
      <c r="L466" s="8"/>
      <c r="M466" s="8"/>
      <c r="N466" s="8"/>
      <c r="O466" s="8"/>
      <c r="P466" s="8"/>
      <c r="Q466" s="8"/>
    </row>
    <row r="467" spans="9:17" s="1" customFormat="1" x14ac:dyDescent="0.25">
      <c r="I467" s="8"/>
      <c r="K467" s="8"/>
      <c r="L467" s="8"/>
      <c r="M467" s="8"/>
      <c r="N467" s="8"/>
      <c r="O467" s="8"/>
      <c r="P467" s="8"/>
      <c r="Q467" s="8"/>
    </row>
    <row r="468" spans="9:17" s="1" customFormat="1" x14ac:dyDescent="0.25">
      <c r="I468" s="8"/>
      <c r="K468" s="8"/>
      <c r="L468" s="8"/>
      <c r="M468" s="8"/>
      <c r="N468" s="8"/>
      <c r="O468" s="8"/>
      <c r="P468" s="8"/>
      <c r="Q468" s="8"/>
    </row>
    <row r="469" spans="9:17" s="1" customFormat="1" x14ac:dyDescent="0.25">
      <c r="I469" s="8"/>
      <c r="K469" s="8"/>
      <c r="L469" s="8"/>
      <c r="M469" s="8"/>
      <c r="N469" s="8"/>
      <c r="O469" s="8"/>
      <c r="P469" s="8"/>
      <c r="Q469" s="8"/>
    </row>
    <row r="470" spans="9:17" s="1" customFormat="1" x14ac:dyDescent="0.25">
      <c r="I470" s="8"/>
      <c r="K470" s="8"/>
      <c r="L470" s="8"/>
      <c r="M470" s="8"/>
      <c r="N470" s="8"/>
      <c r="O470" s="8"/>
      <c r="P470" s="8"/>
      <c r="Q470" s="8"/>
    </row>
    <row r="471" spans="9:17" s="1" customFormat="1" x14ac:dyDescent="0.25">
      <c r="I471" s="8"/>
      <c r="K471" s="8"/>
      <c r="L471" s="8"/>
      <c r="M471" s="8"/>
      <c r="N471" s="8"/>
      <c r="O471" s="8"/>
      <c r="P471" s="8"/>
      <c r="Q471" s="8"/>
    </row>
    <row r="472" spans="9:17" s="1" customFormat="1" x14ac:dyDescent="0.25">
      <c r="I472" s="8"/>
      <c r="K472" s="8"/>
      <c r="L472" s="8"/>
      <c r="M472" s="8"/>
      <c r="N472" s="8"/>
      <c r="O472" s="8"/>
      <c r="P472" s="8"/>
      <c r="Q472" s="8"/>
    </row>
    <row r="473" spans="9:17" s="1" customFormat="1" x14ac:dyDescent="0.25">
      <c r="I473" s="8"/>
      <c r="K473" s="8"/>
      <c r="L473" s="8"/>
      <c r="M473" s="8"/>
      <c r="N473" s="8"/>
      <c r="O473" s="8"/>
      <c r="P473" s="8"/>
      <c r="Q473" s="8"/>
    </row>
    <row r="474" spans="9:17" s="1" customFormat="1" x14ac:dyDescent="0.25">
      <c r="I474" s="8"/>
      <c r="K474" s="8"/>
      <c r="L474" s="8"/>
      <c r="M474" s="8"/>
      <c r="N474" s="8"/>
      <c r="O474" s="8"/>
      <c r="P474" s="8"/>
      <c r="Q474" s="8"/>
    </row>
    <row r="475" spans="9:17" s="1" customFormat="1" x14ac:dyDescent="0.25">
      <c r="I475" s="8"/>
      <c r="K475" s="8"/>
      <c r="L475" s="8"/>
      <c r="M475" s="8"/>
      <c r="N475" s="8"/>
      <c r="O475" s="8"/>
      <c r="P475" s="8"/>
      <c r="Q475" s="8"/>
    </row>
    <row r="476" spans="9:17" s="1" customFormat="1" x14ac:dyDescent="0.25">
      <c r="I476" s="8"/>
      <c r="K476" s="8"/>
      <c r="L476" s="8"/>
      <c r="M476" s="8"/>
      <c r="N476" s="8"/>
      <c r="O476" s="8"/>
      <c r="P476" s="8"/>
      <c r="Q476" s="8"/>
    </row>
    <row r="477" spans="9:17" s="1" customFormat="1" x14ac:dyDescent="0.25">
      <c r="I477" s="8"/>
      <c r="K477" s="8"/>
      <c r="L477" s="8"/>
      <c r="M477" s="8"/>
      <c r="N477" s="8"/>
      <c r="O477" s="8"/>
      <c r="P477" s="8"/>
      <c r="Q477" s="8"/>
    </row>
    <row r="478" spans="9:17" s="1" customFormat="1" x14ac:dyDescent="0.25">
      <c r="I478" s="8"/>
      <c r="K478" s="8"/>
      <c r="L478" s="8"/>
      <c r="M478" s="8"/>
      <c r="N478" s="8"/>
      <c r="O478" s="8"/>
      <c r="P478" s="8"/>
      <c r="Q478" s="8"/>
    </row>
    <row r="479" spans="9:17" s="1" customFormat="1" x14ac:dyDescent="0.25">
      <c r="I479" s="8"/>
      <c r="K479" s="8"/>
      <c r="L479" s="8"/>
      <c r="M479" s="8"/>
      <c r="N479" s="8"/>
      <c r="O479" s="8"/>
      <c r="P479" s="8"/>
      <c r="Q479" s="8"/>
    </row>
    <row r="480" spans="9:17" s="1" customFormat="1" x14ac:dyDescent="0.25">
      <c r="I480" s="8"/>
      <c r="K480" s="8"/>
      <c r="L480" s="8"/>
      <c r="M480" s="8"/>
      <c r="N480" s="8"/>
      <c r="O480" s="8"/>
      <c r="P480" s="8"/>
      <c r="Q480" s="8"/>
    </row>
    <row r="481" spans="9:17" s="1" customFormat="1" x14ac:dyDescent="0.25">
      <c r="I481" s="8"/>
      <c r="K481" s="8"/>
      <c r="L481" s="8"/>
      <c r="M481" s="8"/>
      <c r="N481" s="8"/>
      <c r="O481" s="8"/>
      <c r="P481" s="8"/>
      <c r="Q481" s="8"/>
    </row>
    <row r="482" spans="9:17" s="1" customFormat="1" x14ac:dyDescent="0.25">
      <c r="I482" s="8"/>
      <c r="K482" s="8"/>
      <c r="L482" s="8"/>
      <c r="M482" s="8"/>
      <c r="N482" s="8"/>
      <c r="O482" s="8"/>
      <c r="P482" s="8"/>
      <c r="Q482" s="8"/>
    </row>
    <row r="483" spans="9:17" s="1" customFormat="1" x14ac:dyDescent="0.25">
      <c r="I483" s="8"/>
      <c r="K483" s="8"/>
      <c r="L483" s="8"/>
      <c r="M483" s="8"/>
      <c r="N483" s="8"/>
      <c r="O483" s="8"/>
      <c r="P483" s="8"/>
      <c r="Q483" s="8"/>
    </row>
    <row r="484" spans="9:17" s="1" customFormat="1" x14ac:dyDescent="0.25">
      <c r="I484" s="8"/>
      <c r="K484" s="8"/>
      <c r="L484" s="8"/>
      <c r="M484" s="8"/>
      <c r="N484" s="8"/>
      <c r="O484" s="8"/>
      <c r="P484" s="8"/>
      <c r="Q484" s="8"/>
    </row>
    <row r="485" spans="9:17" s="1" customFormat="1" x14ac:dyDescent="0.25">
      <c r="I485" s="8"/>
      <c r="K485" s="8"/>
      <c r="L485" s="8"/>
      <c r="M485" s="8"/>
      <c r="N485" s="8"/>
      <c r="O485" s="8"/>
      <c r="P485" s="8"/>
      <c r="Q485" s="8"/>
    </row>
    <row r="486" spans="9:17" s="1" customFormat="1" x14ac:dyDescent="0.25">
      <c r="I486" s="8"/>
      <c r="K486" s="8"/>
      <c r="L486" s="8"/>
      <c r="M486" s="8"/>
      <c r="N486" s="8"/>
      <c r="O486" s="8"/>
      <c r="P486" s="8"/>
      <c r="Q486" s="8"/>
    </row>
    <row r="487" spans="9:17" s="1" customFormat="1" x14ac:dyDescent="0.25">
      <c r="I487" s="8"/>
      <c r="K487" s="8"/>
      <c r="L487" s="8"/>
      <c r="M487" s="8"/>
      <c r="N487" s="8"/>
      <c r="O487" s="8"/>
      <c r="P487" s="8"/>
      <c r="Q487" s="8"/>
    </row>
    <row r="488" spans="9:17" s="1" customFormat="1" x14ac:dyDescent="0.25">
      <c r="I488" s="8"/>
      <c r="K488" s="8"/>
      <c r="L488" s="8"/>
      <c r="M488" s="8"/>
      <c r="N488" s="8"/>
      <c r="O488" s="8"/>
      <c r="P488" s="8"/>
      <c r="Q488" s="8"/>
    </row>
    <row r="489" spans="9:17" s="1" customFormat="1" x14ac:dyDescent="0.25">
      <c r="I489" s="8"/>
      <c r="K489" s="8"/>
      <c r="L489" s="8"/>
      <c r="M489" s="8"/>
      <c r="N489" s="8"/>
      <c r="O489" s="8"/>
      <c r="P489" s="8"/>
      <c r="Q489" s="8"/>
    </row>
    <row r="490" spans="9:17" s="1" customFormat="1" x14ac:dyDescent="0.25">
      <c r="I490" s="8"/>
      <c r="K490" s="8"/>
      <c r="L490" s="8"/>
      <c r="M490" s="8"/>
      <c r="N490" s="8"/>
      <c r="O490" s="8"/>
      <c r="P490" s="8"/>
      <c r="Q490" s="8"/>
    </row>
    <row r="491" spans="9:17" s="1" customFormat="1" x14ac:dyDescent="0.25">
      <c r="I491" s="8"/>
      <c r="K491" s="8"/>
      <c r="L491" s="8"/>
      <c r="M491" s="8"/>
      <c r="N491" s="8"/>
      <c r="O491" s="8"/>
      <c r="P491" s="8"/>
      <c r="Q491" s="8"/>
    </row>
    <row r="492" spans="9:17" s="1" customFormat="1" x14ac:dyDescent="0.25">
      <c r="I492" s="8"/>
      <c r="K492" s="8"/>
      <c r="L492" s="8"/>
      <c r="M492" s="8"/>
      <c r="N492" s="8"/>
      <c r="O492" s="8"/>
      <c r="P492" s="8"/>
      <c r="Q492" s="8"/>
    </row>
    <row r="493" spans="9:17" s="1" customFormat="1" x14ac:dyDescent="0.25">
      <c r="I493" s="8"/>
      <c r="K493" s="8"/>
      <c r="L493" s="8"/>
      <c r="M493" s="8"/>
      <c r="N493" s="8"/>
      <c r="O493" s="8"/>
      <c r="P493" s="8"/>
      <c r="Q493" s="8"/>
    </row>
    <row r="494" spans="9:17" s="1" customFormat="1" x14ac:dyDescent="0.25">
      <c r="I494" s="8"/>
      <c r="K494" s="8"/>
      <c r="L494" s="8"/>
      <c r="M494" s="8"/>
      <c r="N494" s="8"/>
      <c r="O494" s="8"/>
      <c r="P494" s="8"/>
      <c r="Q494" s="8"/>
    </row>
    <row r="495" spans="9:17" s="1" customFormat="1" x14ac:dyDescent="0.25">
      <c r="I495" s="8"/>
      <c r="K495" s="8"/>
      <c r="L495" s="8"/>
      <c r="M495" s="8"/>
      <c r="N495" s="8"/>
      <c r="O495" s="8"/>
      <c r="P495" s="8"/>
      <c r="Q495" s="8"/>
    </row>
    <row r="496" spans="9:17" s="1" customFormat="1" x14ac:dyDescent="0.25">
      <c r="I496" s="8"/>
      <c r="K496" s="8"/>
      <c r="L496" s="8"/>
      <c r="M496" s="8"/>
      <c r="N496" s="8"/>
      <c r="O496" s="8"/>
      <c r="P496" s="8"/>
      <c r="Q496" s="8"/>
    </row>
    <row r="497" spans="9:17" s="1" customFormat="1" x14ac:dyDescent="0.25">
      <c r="I497" s="8"/>
      <c r="K497" s="8"/>
      <c r="L497" s="8"/>
      <c r="M497" s="8"/>
      <c r="N497" s="8"/>
      <c r="O497" s="8"/>
      <c r="P497" s="8"/>
      <c r="Q497" s="8"/>
    </row>
    <row r="498" spans="9:17" s="1" customFormat="1" x14ac:dyDescent="0.25">
      <c r="I498" s="8"/>
      <c r="K498" s="8"/>
      <c r="L498" s="8"/>
      <c r="M498" s="8"/>
      <c r="N498" s="8"/>
      <c r="O498" s="8"/>
      <c r="P498" s="8"/>
      <c r="Q498" s="8"/>
    </row>
    <row r="499" spans="9:17" s="1" customFormat="1" x14ac:dyDescent="0.25">
      <c r="I499" s="8"/>
      <c r="K499" s="8"/>
      <c r="L499" s="8"/>
      <c r="M499" s="8"/>
      <c r="N499" s="8"/>
      <c r="O499" s="8"/>
      <c r="P499" s="8"/>
      <c r="Q499" s="8"/>
    </row>
    <row r="500" spans="9:17" s="1" customFormat="1" x14ac:dyDescent="0.25">
      <c r="I500" s="8"/>
      <c r="K500" s="8"/>
      <c r="L500" s="8"/>
      <c r="M500" s="8"/>
      <c r="N500" s="8"/>
      <c r="O500" s="8"/>
      <c r="P500" s="8"/>
      <c r="Q500" s="8"/>
    </row>
    <row r="501" spans="9:17" s="1" customFormat="1" x14ac:dyDescent="0.25">
      <c r="I501" s="8"/>
      <c r="K501" s="8"/>
      <c r="L501" s="8"/>
      <c r="M501" s="8"/>
      <c r="N501" s="8"/>
      <c r="O501" s="8"/>
      <c r="P501" s="8"/>
      <c r="Q501" s="8"/>
    </row>
    <row r="502" spans="9:17" s="1" customFormat="1" x14ac:dyDescent="0.25">
      <c r="I502" s="8"/>
      <c r="K502" s="8"/>
      <c r="L502" s="8"/>
      <c r="M502" s="8"/>
      <c r="N502" s="8"/>
      <c r="O502" s="8"/>
      <c r="P502" s="8"/>
      <c r="Q502" s="8"/>
    </row>
    <row r="503" spans="9:17" s="1" customFormat="1" x14ac:dyDescent="0.25">
      <c r="I503" s="8"/>
      <c r="K503" s="8"/>
      <c r="L503" s="8"/>
      <c r="M503" s="8"/>
      <c r="N503" s="8"/>
      <c r="O503" s="8"/>
      <c r="P503" s="8"/>
      <c r="Q503" s="8"/>
    </row>
    <row r="504" spans="9:17" s="1" customFormat="1" x14ac:dyDescent="0.25">
      <c r="I504" s="8"/>
      <c r="K504" s="8"/>
      <c r="L504" s="8"/>
      <c r="M504" s="8"/>
      <c r="N504" s="8"/>
      <c r="O504" s="8"/>
      <c r="P504" s="8"/>
      <c r="Q504" s="8"/>
    </row>
    <row r="505" spans="9:17" s="1" customFormat="1" x14ac:dyDescent="0.25">
      <c r="I505" s="8"/>
      <c r="K505" s="8"/>
      <c r="L505" s="8"/>
      <c r="M505" s="8"/>
      <c r="N505" s="8"/>
      <c r="O505" s="8"/>
      <c r="P505" s="8"/>
      <c r="Q505" s="8"/>
    </row>
    <row r="506" spans="9:17" s="1" customFormat="1" x14ac:dyDescent="0.25">
      <c r="I506" s="8"/>
      <c r="K506" s="8"/>
      <c r="L506" s="8"/>
      <c r="M506" s="8"/>
      <c r="N506" s="8"/>
      <c r="O506" s="8"/>
      <c r="P506" s="8"/>
      <c r="Q506" s="8"/>
    </row>
    <row r="507" spans="9:17" s="1" customFormat="1" x14ac:dyDescent="0.25">
      <c r="I507" s="8"/>
      <c r="K507" s="8"/>
      <c r="L507" s="8"/>
      <c r="M507" s="8"/>
      <c r="N507" s="8"/>
      <c r="O507" s="8"/>
      <c r="P507" s="8"/>
      <c r="Q507" s="8"/>
    </row>
    <row r="508" spans="9:17" s="1" customFormat="1" x14ac:dyDescent="0.25">
      <c r="I508" s="8"/>
      <c r="K508" s="8"/>
      <c r="L508" s="8"/>
      <c r="M508" s="8"/>
      <c r="N508" s="8"/>
      <c r="O508" s="8"/>
      <c r="P508" s="8"/>
      <c r="Q508" s="8"/>
    </row>
    <row r="509" spans="9:17" s="1" customFormat="1" x14ac:dyDescent="0.25">
      <c r="I509" s="8"/>
      <c r="K509" s="8"/>
      <c r="L509" s="8"/>
      <c r="M509" s="8"/>
      <c r="N509" s="8"/>
      <c r="O509" s="8"/>
      <c r="P509" s="8"/>
      <c r="Q509" s="8"/>
    </row>
    <row r="510" spans="9:17" s="1" customFormat="1" x14ac:dyDescent="0.25">
      <c r="I510" s="8"/>
      <c r="K510" s="8"/>
      <c r="L510" s="8"/>
      <c r="M510" s="8"/>
      <c r="N510" s="8"/>
      <c r="O510" s="8"/>
      <c r="P510" s="8"/>
      <c r="Q510" s="8"/>
    </row>
    <row r="511" spans="9:17" s="1" customFormat="1" x14ac:dyDescent="0.25">
      <c r="I511" s="8"/>
      <c r="K511" s="8"/>
      <c r="L511" s="8"/>
      <c r="M511" s="8"/>
      <c r="N511" s="8"/>
      <c r="O511" s="8"/>
      <c r="P511" s="8"/>
      <c r="Q511" s="8"/>
    </row>
    <row r="512" spans="9:17" s="1" customFormat="1" x14ac:dyDescent="0.25">
      <c r="I512" s="8"/>
      <c r="K512" s="8"/>
      <c r="L512" s="8"/>
      <c r="M512" s="8"/>
      <c r="N512" s="8"/>
      <c r="O512" s="8"/>
      <c r="P512" s="8"/>
      <c r="Q512" s="8"/>
    </row>
    <row r="513" spans="9:17" s="1" customFormat="1" x14ac:dyDescent="0.25">
      <c r="I513" s="8"/>
      <c r="K513" s="8"/>
      <c r="L513" s="8"/>
      <c r="M513" s="8"/>
      <c r="N513" s="8"/>
      <c r="O513" s="8"/>
      <c r="P513" s="8"/>
      <c r="Q513" s="8"/>
    </row>
    <row r="514" spans="9:17" s="1" customFormat="1" x14ac:dyDescent="0.25">
      <c r="I514" s="8"/>
      <c r="K514" s="8"/>
      <c r="L514" s="8"/>
      <c r="M514" s="8"/>
      <c r="N514" s="8"/>
      <c r="O514" s="8"/>
      <c r="P514" s="8"/>
      <c r="Q514" s="8"/>
    </row>
    <row r="515" spans="9:17" s="1" customFormat="1" x14ac:dyDescent="0.25">
      <c r="I515" s="8"/>
      <c r="K515" s="8"/>
      <c r="L515" s="8"/>
      <c r="M515" s="8"/>
      <c r="N515" s="8"/>
      <c r="O515" s="8"/>
      <c r="P515" s="8"/>
      <c r="Q515" s="8"/>
    </row>
    <row r="516" spans="9:17" s="1" customFormat="1" x14ac:dyDescent="0.25">
      <c r="I516" s="8"/>
      <c r="K516" s="8"/>
      <c r="L516" s="8"/>
      <c r="M516" s="8"/>
      <c r="N516" s="8"/>
      <c r="O516" s="8"/>
      <c r="P516" s="8"/>
      <c r="Q516" s="8"/>
    </row>
    <row r="517" spans="9:17" s="1" customFormat="1" x14ac:dyDescent="0.25">
      <c r="I517" s="8"/>
      <c r="K517" s="8"/>
      <c r="L517" s="8"/>
      <c r="M517" s="8"/>
      <c r="N517" s="8"/>
      <c r="O517" s="8"/>
      <c r="P517" s="8"/>
      <c r="Q517" s="8"/>
    </row>
    <row r="518" spans="9:17" s="1" customFormat="1" x14ac:dyDescent="0.25">
      <c r="I518" s="8"/>
      <c r="K518" s="8"/>
      <c r="L518" s="8"/>
      <c r="M518" s="8"/>
      <c r="N518" s="8"/>
      <c r="O518" s="8"/>
      <c r="P518" s="8"/>
      <c r="Q518" s="8"/>
    </row>
    <row r="519" spans="9:17" s="1" customFormat="1" x14ac:dyDescent="0.25">
      <c r="I519" s="8"/>
      <c r="K519" s="8"/>
      <c r="L519" s="8"/>
      <c r="M519" s="8"/>
      <c r="N519" s="8"/>
      <c r="O519" s="8"/>
      <c r="P519" s="8"/>
      <c r="Q519" s="8"/>
    </row>
    <row r="520" spans="9:17" s="1" customFormat="1" x14ac:dyDescent="0.25">
      <c r="I520" s="8"/>
      <c r="K520" s="8"/>
      <c r="L520" s="8"/>
      <c r="M520" s="8"/>
      <c r="N520" s="8"/>
      <c r="O520" s="8"/>
      <c r="P520" s="8"/>
      <c r="Q520" s="8"/>
    </row>
    <row r="521" spans="9:17" s="1" customFormat="1" x14ac:dyDescent="0.25">
      <c r="I521" s="8"/>
      <c r="K521" s="8"/>
      <c r="L521" s="8"/>
      <c r="M521" s="8"/>
      <c r="N521" s="8"/>
      <c r="O521" s="8"/>
      <c r="P521" s="8"/>
      <c r="Q521" s="8"/>
    </row>
    <row r="522" spans="9:17" s="1" customFormat="1" x14ac:dyDescent="0.25">
      <c r="I522" s="8"/>
      <c r="K522" s="8"/>
      <c r="L522" s="8"/>
      <c r="M522" s="8"/>
      <c r="N522" s="8"/>
      <c r="O522" s="8"/>
      <c r="P522" s="8"/>
      <c r="Q522" s="8"/>
    </row>
    <row r="523" spans="9:17" s="1" customFormat="1" x14ac:dyDescent="0.25">
      <c r="I523" s="8"/>
      <c r="K523" s="8"/>
      <c r="L523" s="8"/>
      <c r="M523" s="8"/>
      <c r="N523" s="8"/>
      <c r="O523" s="8"/>
      <c r="P523" s="8"/>
      <c r="Q523" s="8"/>
    </row>
    <row r="524" spans="9:17" s="1" customFormat="1" x14ac:dyDescent="0.25">
      <c r="I524" s="8"/>
      <c r="K524" s="8"/>
      <c r="L524" s="8"/>
      <c r="M524" s="8"/>
      <c r="N524" s="8"/>
      <c r="O524" s="8"/>
      <c r="P524" s="8"/>
      <c r="Q524" s="8"/>
    </row>
    <row r="525" spans="9:17" s="1" customFormat="1" x14ac:dyDescent="0.25">
      <c r="I525" s="8"/>
      <c r="K525" s="8"/>
      <c r="L525" s="8"/>
      <c r="M525" s="8"/>
      <c r="N525" s="8"/>
      <c r="O525" s="8"/>
      <c r="P525" s="8"/>
      <c r="Q525" s="8"/>
    </row>
    <row r="526" spans="9:17" s="1" customFormat="1" x14ac:dyDescent="0.25">
      <c r="I526" s="8"/>
      <c r="K526" s="8"/>
      <c r="L526" s="8"/>
      <c r="M526" s="8"/>
      <c r="N526" s="8"/>
      <c r="O526" s="8"/>
      <c r="P526" s="8"/>
      <c r="Q526" s="8"/>
    </row>
    <row r="527" spans="9:17" s="1" customFormat="1" x14ac:dyDescent="0.25">
      <c r="I527" s="8"/>
      <c r="K527" s="8"/>
      <c r="L527" s="8"/>
      <c r="M527" s="8"/>
      <c r="N527" s="8"/>
      <c r="O527" s="8"/>
      <c r="P527" s="8"/>
      <c r="Q527" s="8"/>
    </row>
    <row r="528" spans="9:17" s="1" customFormat="1" x14ac:dyDescent="0.25">
      <c r="I528" s="8"/>
      <c r="K528" s="8"/>
      <c r="L528" s="8"/>
      <c r="M528" s="8"/>
      <c r="N528" s="8"/>
      <c r="O528" s="8"/>
      <c r="P528" s="8"/>
      <c r="Q528" s="8"/>
    </row>
    <row r="529" spans="9:17" s="1" customFormat="1" x14ac:dyDescent="0.25">
      <c r="I529" s="8"/>
      <c r="K529" s="8"/>
      <c r="L529" s="8"/>
      <c r="M529" s="8"/>
      <c r="N529" s="8"/>
      <c r="O529" s="8"/>
      <c r="P529" s="8"/>
      <c r="Q529" s="8"/>
    </row>
    <row r="530" spans="9:17" s="1" customFormat="1" x14ac:dyDescent="0.25">
      <c r="I530" s="8"/>
      <c r="K530" s="8"/>
      <c r="L530" s="8"/>
      <c r="M530" s="8"/>
      <c r="N530" s="8"/>
      <c r="O530" s="8"/>
      <c r="P530" s="8"/>
      <c r="Q530" s="8"/>
    </row>
    <row r="531" spans="9:17" s="1" customFormat="1" x14ac:dyDescent="0.25">
      <c r="I531" s="8"/>
      <c r="K531" s="8"/>
      <c r="L531" s="8"/>
      <c r="M531" s="8"/>
      <c r="N531" s="8"/>
      <c r="O531" s="8"/>
      <c r="P531" s="8"/>
      <c r="Q531" s="8"/>
    </row>
    <row r="532" spans="9:17" s="1" customFormat="1" x14ac:dyDescent="0.25">
      <c r="I532" s="8"/>
      <c r="K532" s="8"/>
      <c r="L532" s="8"/>
      <c r="M532" s="8"/>
      <c r="N532" s="8"/>
      <c r="O532" s="8"/>
      <c r="P532" s="8"/>
      <c r="Q532" s="8"/>
    </row>
    <row r="533" spans="9:17" s="1" customFormat="1" x14ac:dyDescent="0.25">
      <c r="I533" s="8"/>
      <c r="K533" s="8"/>
      <c r="L533" s="8"/>
      <c r="M533" s="8"/>
      <c r="N533" s="8"/>
      <c r="O533" s="8"/>
      <c r="P533" s="8"/>
      <c r="Q533" s="8"/>
    </row>
    <row r="534" spans="9:17" s="1" customFormat="1" x14ac:dyDescent="0.25">
      <c r="I534" s="8"/>
      <c r="K534" s="8"/>
      <c r="L534" s="8"/>
      <c r="M534" s="8"/>
      <c r="N534" s="8"/>
      <c r="O534" s="8"/>
      <c r="P534" s="8"/>
      <c r="Q534" s="8"/>
    </row>
    <row r="535" spans="9:17" s="1" customFormat="1" x14ac:dyDescent="0.25">
      <c r="I535" s="8"/>
      <c r="K535" s="8"/>
      <c r="L535" s="8"/>
      <c r="M535" s="8"/>
      <c r="N535" s="8"/>
      <c r="O535" s="8"/>
      <c r="P535" s="8"/>
      <c r="Q535" s="8"/>
    </row>
    <row r="536" spans="9:17" s="1" customFormat="1" x14ac:dyDescent="0.25">
      <c r="I536" s="8"/>
      <c r="K536" s="8"/>
      <c r="L536" s="8"/>
      <c r="M536" s="8"/>
      <c r="N536" s="8"/>
      <c r="O536" s="8"/>
      <c r="P536" s="8"/>
      <c r="Q536" s="8"/>
    </row>
    <row r="537" spans="9:17" s="1" customFormat="1" x14ac:dyDescent="0.25">
      <c r="I537" s="8"/>
      <c r="K537" s="8"/>
      <c r="L537" s="8"/>
      <c r="M537" s="8"/>
      <c r="N537" s="8"/>
      <c r="O537" s="8"/>
      <c r="P537" s="8"/>
      <c r="Q537" s="8"/>
    </row>
    <row r="538" spans="9:17" s="1" customFormat="1" x14ac:dyDescent="0.25">
      <c r="I538" s="8"/>
      <c r="K538" s="8"/>
      <c r="L538" s="8"/>
      <c r="M538" s="8"/>
      <c r="N538" s="8"/>
      <c r="O538" s="8"/>
      <c r="P538" s="8"/>
      <c r="Q538" s="8"/>
    </row>
    <row r="539" spans="9:17" s="1" customFormat="1" x14ac:dyDescent="0.25">
      <c r="I539" s="8"/>
      <c r="K539" s="8"/>
      <c r="L539" s="8"/>
      <c r="M539" s="8"/>
      <c r="N539" s="8"/>
      <c r="O539" s="8"/>
      <c r="P539" s="8"/>
      <c r="Q539" s="8"/>
    </row>
    <row r="540" spans="9:17" s="1" customFormat="1" x14ac:dyDescent="0.25">
      <c r="I540" s="8"/>
      <c r="K540" s="8"/>
      <c r="L540" s="8"/>
      <c r="M540" s="8"/>
      <c r="N540" s="8"/>
      <c r="O540" s="8"/>
      <c r="P540" s="8"/>
      <c r="Q540" s="8"/>
    </row>
    <row r="541" spans="9:17" s="1" customFormat="1" x14ac:dyDescent="0.25">
      <c r="I541" s="8"/>
      <c r="K541" s="8"/>
      <c r="L541" s="8"/>
      <c r="M541" s="8"/>
      <c r="N541" s="8"/>
      <c r="O541" s="8"/>
      <c r="P541" s="8"/>
      <c r="Q541" s="8"/>
    </row>
    <row r="542" spans="9:17" s="1" customFormat="1" x14ac:dyDescent="0.25">
      <c r="I542" s="8"/>
      <c r="K542" s="8"/>
      <c r="L542" s="8"/>
      <c r="M542" s="8"/>
      <c r="N542" s="8"/>
      <c r="O542" s="8"/>
      <c r="P542" s="8"/>
      <c r="Q542" s="8"/>
    </row>
    <row r="543" spans="9:17" s="1" customFormat="1" x14ac:dyDescent="0.25">
      <c r="I543" s="8"/>
      <c r="K543" s="8"/>
      <c r="L543" s="8"/>
      <c r="M543" s="8"/>
      <c r="N543" s="8"/>
      <c r="O543" s="8"/>
      <c r="P543" s="8"/>
      <c r="Q543" s="8"/>
    </row>
    <row r="544" spans="9:17" s="1" customFormat="1" x14ac:dyDescent="0.25">
      <c r="I544" s="8"/>
      <c r="K544" s="8"/>
      <c r="L544" s="8"/>
      <c r="M544" s="8"/>
      <c r="N544" s="8"/>
      <c r="O544" s="8"/>
      <c r="P544" s="8"/>
      <c r="Q544" s="8"/>
    </row>
    <row r="545" spans="9:17" s="1" customFormat="1" x14ac:dyDescent="0.25">
      <c r="I545" s="8"/>
      <c r="K545" s="8"/>
      <c r="L545" s="8"/>
      <c r="M545" s="8"/>
      <c r="N545" s="8"/>
      <c r="O545" s="8"/>
      <c r="P545" s="8"/>
      <c r="Q545" s="8"/>
    </row>
    <row r="546" spans="9:17" s="1" customFormat="1" x14ac:dyDescent="0.25">
      <c r="I546" s="8"/>
      <c r="K546" s="8"/>
      <c r="L546" s="8"/>
      <c r="M546" s="8"/>
      <c r="N546" s="8"/>
      <c r="O546" s="8"/>
      <c r="P546" s="8"/>
      <c r="Q546" s="8"/>
    </row>
    <row r="547" spans="9:17" s="1" customFormat="1" x14ac:dyDescent="0.25">
      <c r="I547" s="8"/>
      <c r="K547" s="8"/>
      <c r="L547" s="8"/>
      <c r="M547" s="8"/>
      <c r="N547" s="8"/>
      <c r="O547" s="8"/>
      <c r="P547" s="8"/>
      <c r="Q547" s="8"/>
    </row>
    <row r="548" spans="9:17" s="1" customFormat="1" x14ac:dyDescent="0.25">
      <c r="I548" s="8"/>
      <c r="K548" s="8"/>
      <c r="L548" s="8"/>
      <c r="M548" s="8"/>
      <c r="N548" s="8"/>
      <c r="O548" s="8"/>
      <c r="P548" s="8"/>
      <c r="Q548" s="8"/>
    </row>
    <row r="549" spans="9:17" s="1" customFormat="1" x14ac:dyDescent="0.25">
      <c r="I549" s="8"/>
      <c r="K549" s="8"/>
      <c r="L549" s="8"/>
      <c r="M549" s="8"/>
      <c r="N549" s="8"/>
      <c r="O549" s="8"/>
      <c r="P549" s="8"/>
      <c r="Q549" s="8"/>
    </row>
    <row r="550" spans="9:17" s="1" customFormat="1" x14ac:dyDescent="0.25">
      <c r="I550" s="8"/>
      <c r="K550" s="8"/>
      <c r="L550" s="8"/>
      <c r="M550" s="8"/>
      <c r="N550" s="8"/>
      <c r="O550" s="8"/>
      <c r="P550" s="8"/>
      <c r="Q550" s="8"/>
    </row>
    <row r="551" spans="9:17" s="1" customFormat="1" x14ac:dyDescent="0.25">
      <c r="I551" s="8"/>
      <c r="K551" s="8"/>
      <c r="L551" s="8"/>
      <c r="M551" s="8"/>
      <c r="N551" s="8"/>
      <c r="O551" s="8"/>
      <c r="P551" s="8"/>
      <c r="Q551" s="8"/>
    </row>
    <row r="552" spans="9:17" s="1" customFormat="1" x14ac:dyDescent="0.25">
      <c r="I552" s="8"/>
      <c r="K552" s="8"/>
      <c r="L552" s="8"/>
      <c r="M552" s="8"/>
      <c r="N552" s="8"/>
      <c r="O552" s="8"/>
      <c r="P552" s="8"/>
      <c r="Q552" s="8"/>
    </row>
    <row r="553" spans="9:17" s="1" customFormat="1" x14ac:dyDescent="0.25">
      <c r="I553" s="8"/>
      <c r="K553" s="8"/>
      <c r="L553" s="8"/>
      <c r="M553" s="8"/>
      <c r="N553" s="8"/>
      <c r="O553" s="8"/>
      <c r="P553" s="8"/>
      <c r="Q553" s="8"/>
    </row>
    <row r="554" spans="9:17" s="1" customFormat="1" x14ac:dyDescent="0.25">
      <c r="I554" s="8"/>
      <c r="K554" s="8"/>
      <c r="L554" s="8"/>
      <c r="M554" s="8"/>
      <c r="N554" s="8"/>
      <c r="O554" s="8"/>
      <c r="P554" s="8"/>
      <c r="Q554" s="8"/>
    </row>
    <row r="555" spans="9:17" s="1" customFormat="1" x14ac:dyDescent="0.25">
      <c r="I555" s="8"/>
      <c r="K555" s="8"/>
      <c r="L555" s="8"/>
      <c r="M555" s="8"/>
      <c r="N555" s="8"/>
      <c r="O555" s="8"/>
      <c r="P555" s="8"/>
      <c r="Q555" s="8"/>
    </row>
    <row r="556" spans="9:17" s="1" customFormat="1" x14ac:dyDescent="0.25">
      <c r="I556" s="8"/>
      <c r="K556" s="8"/>
      <c r="L556" s="8"/>
      <c r="M556" s="8"/>
      <c r="N556" s="8"/>
      <c r="O556" s="8"/>
      <c r="P556" s="8"/>
      <c r="Q556" s="8"/>
    </row>
    <row r="557" spans="9:17" s="1" customFormat="1" x14ac:dyDescent="0.25">
      <c r="I557" s="8"/>
      <c r="K557" s="8"/>
      <c r="L557" s="8"/>
      <c r="M557" s="8"/>
      <c r="N557" s="8"/>
      <c r="O557" s="8"/>
      <c r="P557" s="8"/>
      <c r="Q557" s="8"/>
    </row>
    <row r="558" spans="9:17" s="1" customFormat="1" x14ac:dyDescent="0.25">
      <c r="I558" s="8"/>
      <c r="K558" s="8"/>
      <c r="L558" s="8"/>
      <c r="M558" s="8"/>
      <c r="N558" s="8"/>
      <c r="O558" s="8"/>
      <c r="P558" s="8"/>
      <c r="Q558" s="8"/>
    </row>
    <row r="559" spans="9:17" s="1" customFormat="1" x14ac:dyDescent="0.25">
      <c r="I559" s="8"/>
      <c r="K559" s="8"/>
      <c r="L559" s="8"/>
      <c r="M559" s="8"/>
      <c r="N559" s="8"/>
      <c r="O559" s="8"/>
      <c r="P559" s="8"/>
      <c r="Q559" s="8"/>
    </row>
    <row r="560" spans="9:17" s="1" customFormat="1" x14ac:dyDescent="0.25">
      <c r="I560" s="8"/>
      <c r="K560" s="8"/>
      <c r="L560" s="8"/>
      <c r="M560" s="8"/>
      <c r="N560" s="8"/>
      <c r="O560" s="8"/>
      <c r="P560" s="8"/>
      <c r="Q560" s="8"/>
    </row>
    <row r="561" spans="9:17" s="1" customFormat="1" x14ac:dyDescent="0.25">
      <c r="I561" s="8"/>
      <c r="K561" s="8"/>
      <c r="L561" s="8"/>
      <c r="M561" s="8"/>
      <c r="N561" s="8"/>
      <c r="O561" s="8"/>
      <c r="P561" s="8"/>
      <c r="Q561" s="8"/>
    </row>
    <row r="562" spans="9:17" s="1" customFormat="1" x14ac:dyDescent="0.25">
      <c r="I562" s="8"/>
      <c r="K562" s="8"/>
      <c r="L562" s="8"/>
      <c r="M562" s="8"/>
      <c r="N562" s="8"/>
      <c r="O562" s="8"/>
      <c r="P562" s="8"/>
      <c r="Q562" s="8"/>
    </row>
    <row r="563" spans="9:17" s="1" customFormat="1" x14ac:dyDescent="0.25">
      <c r="I563" s="8"/>
      <c r="K563" s="8"/>
      <c r="L563" s="8"/>
      <c r="M563" s="8"/>
      <c r="N563" s="8"/>
      <c r="O563" s="8"/>
      <c r="P563" s="8"/>
      <c r="Q563" s="8"/>
    </row>
    <row r="564" spans="9:17" s="1" customFormat="1" x14ac:dyDescent="0.25">
      <c r="I564" s="8"/>
      <c r="K564" s="8"/>
      <c r="L564" s="8"/>
      <c r="M564" s="8"/>
      <c r="N564" s="8"/>
      <c r="O564" s="8"/>
      <c r="P564" s="8"/>
      <c r="Q564" s="8"/>
    </row>
    <row r="565" spans="9:17" s="1" customFormat="1" x14ac:dyDescent="0.25">
      <c r="I565" s="8"/>
      <c r="K565" s="8"/>
      <c r="L565" s="8"/>
      <c r="M565" s="8"/>
      <c r="N565" s="8"/>
      <c r="O565" s="8"/>
      <c r="P565" s="8"/>
      <c r="Q565" s="8"/>
    </row>
    <row r="566" spans="9:17" s="1" customFormat="1" x14ac:dyDescent="0.25">
      <c r="I566" s="8"/>
      <c r="K566" s="8"/>
      <c r="L566" s="8"/>
      <c r="M566" s="8"/>
      <c r="N566" s="8"/>
      <c r="O566" s="8"/>
      <c r="P566" s="8"/>
      <c r="Q566" s="8"/>
    </row>
    <row r="567" spans="9:17" s="1" customFormat="1" x14ac:dyDescent="0.25">
      <c r="I567" s="8"/>
      <c r="K567" s="8"/>
      <c r="L567" s="8"/>
      <c r="M567" s="8"/>
      <c r="N567" s="8"/>
      <c r="O567" s="8"/>
      <c r="P567" s="8"/>
      <c r="Q567" s="8"/>
    </row>
    <row r="568" spans="9:17" s="1" customFormat="1" x14ac:dyDescent="0.25">
      <c r="I568" s="8"/>
      <c r="K568" s="8"/>
      <c r="L568" s="8"/>
      <c r="M568" s="8"/>
      <c r="N568" s="8"/>
      <c r="O568" s="8"/>
      <c r="P568" s="8"/>
      <c r="Q568" s="8"/>
    </row>
    <row r="569" spans="9:17" s="1" customFormat="1" x14ac:dyDescent="0.25">
      <c r="I569" s="8"/>
      <c r="K569" s="8"/>
      <c r="L569" s="8"/>
      <c r="M569" s="8"/>
      <c r="N569" s="8"/>
      <c r="O569" s="8"/>
      <c r="P569" s="8"/>
      <c r="Q569" s="8"/>
    </row>
    <row r="570" spans="9:17" s="1" customFormat="1" x14ac:dyDescent="0.25">
      <c r="I570" s="8"/>
      <c r="K570" s="8"/>
      <c r="L570" s="8"/>
      <c r="M570" s="8"/>
      <c r="N570" s="8"/>
      <c r="O570" s="8"/>
      <c r="P570" s="8"/>
      <c r="Q570" s="8"/>
    </row>
    <row r="571" spans="9:17" s="1" customFormat="1" x14ac:dyDescent="0.25">
      <c r="I571" s="8"/>
      <c r="K571" s="8"/>
      <c r="L571" s="8"/>
      <c r="M571" s="8"/>
      <c r="N571" s="8"/>
      <c r="O571" s="8"/>
      <c r="P571" s="8"/>
      <c r="Q571" s="8"/>
    </row>
    <row r="572" spans="9:17" s="1" customFormat="1" x14ac:dyDescent="0.25">
      <c r="I572" s="8"/>
      <c r="K572" s="8"/>
      <c r="L572" s="8"/>
      <c r="M572" s="8"/>
      <c r="N572" s="8"/>
      <c r="O572" s="8"/>
      <c r="P572" s="8"/>
      <c r="Q572" s="8"/>
    </row>
    <row r="573" spans="9:17" s="1" customFormat="1" x14ac:dyDescent="0.25">
      <c r="I573" s="8"/>
      <c r="K573" s="8"/>
      <c r="L573" s="8"/>
      <c r="M573" s="8"/>
      <c r="N573" s="8"/>
      <c r="O573" s="8"/>
      <c r="P573" s="8"/>
      <c r="Q573" s="8"/>
    </row>
    <row r="574" spans="9:17" s="1" customFormat="1" x14ac:dyDescent="0.25">
      <c r="I574" s="8"/>
      <c r="K574" s="8"/>
      <c r="L574" s="8"/>
      <c r="M574" s="8"/>
      <c r="N574" s="8"/>
      <c r="O574" s="8"/>
      <c r="P574" s="8"/>
      <c r="Q574" s="8"/>
    </row>
    <row r="575" spans="9:17" s="1" customFormat="1" x14ac:dyDescent="0.25">
      <c r="I575" s="8"/>
      <c r="K575" s="8"/>
      <c r="L575" s="8"/>
      <c r="M575" s="8"/>
      <c r="N575" s="8"/>
      <c r="O575" s="8"/>
      <c r="P575" s="8"/>
      <c r="Q575" s="8"/>
    </row>
    <row r="576" spans="9:17" s="1" customFormat="1" x14ac:dyDescent="0.25">
      <c r="I576" s="8"/>
      <c r="K576" s="8"/>
      <c r="L576" s="8"/>
      <c r="M576" s="8"/>
      <c r="N576" s="8"/>
      <c r="O576" s="8"/>
      <c r="P576" s="8"/>
      <c r="Q576" s="8"/>
    </row>
    <row r="577" spans="9:17" s="1" customFormat="1" x14ac:dyDescent="0.25">
      <c r="I577" s="8"/>
      <c r="K577" s="8"/>
      <c r="L577" s="8"/>
      <c r="M577" s="8"/>
      <c r="N577" s="8"/>
      <c r="O577" s="8"/>
      <c r="P577" s="8"/>
      <c r="Q577" s="8"/>
    </row>
    <row r="578" spans="9:17" s="1" customFormat="1" x14ac:dyDescent="0.25">
      <c r="I578" s="8"/>
      <c r="K578" s="8"/>
      <c r="L578" s="8"/>
      <c r="M578" s="8"/>
      <c r="N578" s="8"/>
      <c r="O578" s="8"/>
      <c r="P578" s="8"/>
      <c r="Q578" s="8"/>
    </row>
    <row r="579" spans="9:17" s="1" customFormat="1" x14ac:dyDescent="0.25">
      <c r="I579" s="8"/>
      <c r="K579" s="8"/>
      <c r="L579" s="8"/>
      <c r="M579" s="8"/>
      <c r="N579" s="8"/>
      <c r="O579" s="8"/>
      <c r="P579" s="8"/>
      <c r="Q579" s="8"/>
    </row>
    <row r="580" spans="9:17" s="1" customFormat="1" x14ac:dyDescent="0.25">
      <c r="I580" s="8"/>
      <c r="K580" s="8"/>
      <c r="L580" s="8"/>
      <c r="M580" s="8"/>
      <c r="N580" s="8"/>
      <c r="O580" s="8"/>
      <c r="P580" s="8"/>
      <c r="Q580" s="8"/>
    </row>
    <row r="581" spans="9:17" s="1" customFormat="1" x14ac:dyDescent="0.25">
      <c r="I581" s="8"/>
      <c r="K581" s="8"/>
      <c r="L581" s="8"/>
      <c r="M581" s="8"/>
      <c r="N581" s="8"/>
      <c r="O581" s="8"/>
      <c r="P581" s="8"/>
      <c r="Q581" s="8"/>
    </row>
    <row r="582" spans="9:17" s="1" customFormat="1" x14ac:dyDescent="0.25">
      <c r="I582" s="8"/>
      <c r="K582" s="8"/>
      <c r="L582" s="8"/>
      <c r="M582" s="8"/>
      <c r="N582" s="8"/>
      <c r="O582" s="8"/>
      <c r="P582" s="8"/>
      <c r="Q582" s="8"/>
    </row>
    <row r="583" spans="9:17" s="1" customFormat="1" x14ac:dyDescent="0.25">
      <c r="I583" s="8"/>
      <c r="K583" s="8"/>
      <c r="L583" s="8"/>
      <c r="M583" s="8"/>
      <c r="N583" s="8"/>
      <c r="O583" s="8"/>
      <c r="P583" s="8"/>
      <c r="Q583" s="8"/>
    </row>
    <row r="584" spans="9:17" s="1" customFormat="1" x14ac:dyDescent="0.25">
      <c r="I584" s="8"/>
      <c r="K584" s="8"/>
      <c r="L584" s="8"/>
      <c r="M584" s="8"/>
      <c r="N584" s="8"/>
      <c r="O584" s="8"/>
      <c r="P584" s="8"/>
      <c r="Q584" s="8"/>
    </row>
    <row r="585" spans="9:17" s="1" customFormat="1" x14ac:dyDescent="0.25">
      <c r="I585" s="8"/>
      <c r="K585" s="8"/>
      <c r="L585" s="8"/>
      <c r="M585" s="8"/>
      <c r="N585" s="8"/>
      <c r="O585" s="8"/>
      <c r="P585" s="8"/>
      <c r="Q585" s="8"/>
    </row>
    <row r="586" spans="9:17" s="1" customFormat="1" x14ac:dyDescent="0.25">
      <c r="I586" s="8"/>
      <c r="K586" s="8"/>
      <c r="L586" s="8"/>
      <c r="M586" s="8"/>
      <c r="N586" s="8"/>
      <c r="O586" s="8"/>
      <c r="P586" s="8"/>
      <c r="Q586" s="8"/>
    </row>
    <row r="587" spans="9:17" s="1" customFormat="1" x14ac:dyDescent="0.25">
      <c r="I587" s="8"/>
      <c r="K587" s="8"/>
      <c r="L587" s="8"/>
      <c r="M587" s="8"/>
      <c r="N587" s="8"/>
      <c r="O587" s="8"/>
      <c r="P587" s="8"/>
      <c r="Q587" s="8"/>
    </row>
    <row r="588" spans="9:17" s="1" customFormat="1" x14ac:dyDescent="0.25">
      <c r="I588" s="8"/>
      <c r="K588" s="8"/>
      <c r="L588" s="8"/>
      <c r="M588" s="8"/>
      <c r="N588" s="8"/>
      <c r="O588" s="8"/>
      <c r="P588" s="8"/>
      <c r="Q588" s="8"/>
    </row>
    <row r="589" spans="9:17" s="1" customFormat="1" x14ac:dyDescent="0.25">
      <c r="I589" s="8"/>
      <c r="K589" s="8"/>
      <c r="L589" s="8"/>
      <c r="M589" s="8"/>
      <c r="N589" s="8"/>
      <c r="O589" s="8"/>
      <c r="P589" s="8"/>
      <c r="Q589" s="8"/>
    </row>
    <row r="590" spans="9:17" s="1" customFormat="1" x14ac:dyDescent="0.25">
      <c r="I590" s="8"/>
      <c r="K590" s="8"/>
      <c r="L590" s="8"/>
      <c r="M590" s="8"/>
      <c r="N590" s="8"/>
      <c r="O590" s="8"/>
      <c r="P590" s="8"/>
      <c r="Q590" s="8"/>
    </row>
    <row r="591" spans="9:17" s="1" customFormat="1" x14ac:dyDescent="0.25">
      <c r="I591" s="8"/>
      <c r="K591" s="8"/>
      <c r="L591" s="8"/>
      <c r="M591" s="8"/>
      <c r="N591" s="8"/>
      <c r="O591" s="8"/>
      <c r="P591" s="8"/>
      <c r="Q591" s="8"/>
    </row>
    <row r="592" spans="9:17" s="1" customFormat="1" x14ac:dyDescent="0.25">
      <c r="I592" s="8"/>
      <c r="K592" s="8"/>
      <c r="L592" s="8"/>
      <c r="M592" s="8"/>
      <c r="N592" s="8"/>
      <c r="O592" s="8"/>
      <c r="P592" s="8"/>
      <c r="Q592" s="8"/>
    </row>
    <row r="593" spans="9:17" s="1" customFormat="1" x14ac:dyDescent="0.25">
      <c r="I593" s="8"/>
      <c r="K593" s="8"/>
      <c r="L593" s="8"/>
      <c r="M593" s="8"/>
      <c r="N593" s="8"/>
      <c r="O593" s="8"/>
      <c r="P593" s="8"/>
      <c r="Q593" s="8"/>
    </row>
    <row r="594" spans="9:17" s="1" customFormat="1" x14ac:dyDescent="0.25">
      <c r="I594" s="8"/>
      <c r="K594" s="8"/>
      <c r="L594" s="8"/>
      <c r="M594" s="8"/>
      <c r="N594" s="8"/>
      <c r="O594" s="8"/>
      <c r="P594" s="8"/>
      <c r="Q594" s="8"/>
    </row>
    <row r="595" spans="9:17" s="1" customFormat="1" x14ac:dyDescent="0.25">
      <c r="I595" s="8"/>
      <c r="K595" s="8"/>
      <c r="L595" s="8"/>
      <c r="M595" s="8"/>
      <c r="N595" s="8"/>
      <c r="O595" s="8"/>
      <c r="P595" s="8"/>
      <c r="Q595" s="8"/>
    </row>
    <row r="596" spans="9:17" s="1" customFormat="1" x14ac:dyDescent="0.25">
      <c r="I596" s="8"/>
      <c r="K596" s="8"/>
      <c r="L596" s="8"/>
      <c r="M596" s="8"/>
      <c r="N596" s="8"/>
      <c r="O596" s="8"/>
      <c r="P596" s="8"/>
      <c r="Q596" s="8"/>
    </row>
    <row r="597" spans="9:17" s="1" customFormat="1" x14ac:dyDescent="0.25">
      <c r="I597" s="8"/>
      <c r="K597" s="8"/>
      <c r="L597" s="8"/>
      <c r="M597" s="8"/>
      <c r="N597" s="8"/>
      <c r="O597" s="8"/>
      <c r="P597" s="8"/>
      <c r="Q597" s="8"/>
    </row>
    <row r="598" spans="9:17" s="1" customFormat="1" x14ac:dyDescent="0.25">
      <c r="I598" s="8"/>
      <c r="K598" s="8"/>
      <c r="L598" s="8"/>
      <c r="M598" s="8"/>
      <c r="N598" s="8"/>
      <c r="O598" s="8"/>
      <c r="P598" s="8"/>
      <c r="Q598" s="8"/>
    </row>
    <row r="599" spans="9:17" s="1" customFormat="1" x14ac:dyDescent="0.25">
      <c r="I599" s="8"/>
      <c r="K599" s="8"/>
      <c r="L599" s="8"/>
      <c r="M599" s="8"/>
      <c r="N599" s="8"/>
      <c r="O599" s="8"/>
      <c r="P599" s="8"/>
      <c r="Q599" s="8"/>
    </row>
    <row r="600" spans="9:17" s="1" customFormat="1" x14ac:dyDescent="0.25">
      <c r="I600" s="8"/>
      <c r="K600" s="8"/>
      <c r="L600" s="8"/>
      <c r="M600" s="8"/>
      <c r="N600" s="8"/>
      <c r="O600" s="8"/>
      <c r="P600" s="8"/>
      <c r="Q600" s="8"/>
    </row>
    <row r="601" spans="9:17" s="1" customFormat="1" x14ac:dyDescent="0.25">
      <c r="I601" s="8"/>
      <c r="K601" s="8"/>
      <c r="L601" s="8"/>
      <c r="M601" s="8"/>
      <c r="N601" s="8"/>
      <c r="O601" s="8"/>
      <c r="P601" s="8"/>
      <c r="Q601" s="8"/>
    </row>
    <row r="602" spans="9:17" s="1" customFormat="1" x14ac:dyDescent="0.25">
      <c r="I602" s="8"/>
      <c r="K602" s="8"/>
      <c r="L602" s="8"/>
      <c r="M602" s="8"/>
      <c r="N602" s="8"/>
      <c r="O602" s="8"/>
      <c r="P602" s="8"/>
      <c r="Q602" s="8"/>
    </row>
    <row r="603" spans="9:17" s="1" customFormat="1" x14ac:dyDescent="0.25">
      <c r="I603" s="8"/>
      <c r="K603" s="8"/>
      <c r="L603" s="8"/>
      <c r="M603" s="8"/>
      <c r="N603" s="8"/>
      <c r="O603" s="8"/>
      <c r="P603" s="8"/>
      <c r="Q603" s="8"/>
    </row>
    <row r="604" spans="9:17" s="1" customFormat="1" x14ac:dyDescent="0.25">
      <c r="I604" s="8"/>
      <c r="K604" s="8"/>
      <c r="L604" s="8"/>
      <c r="M604" s="8"/>
      <c r="N604" s="8"/>
      <c r="O604" s="8"/>
      <c r="P604" s="8"/>
      <c r="Q604" s="8"/>
    </row>
    <row r="605" spans="9:17" s="1" customFormat="1" x14ac:dyDescent="0.25">
      <c r="I605" s="8"/>
      <c r="K605" s="8"/>
      <c r="L605" s="8"/>
      <c r="M605" s="8"/>
      <c r="N605" s="8"/>
      <c r="O605" s="8"/>
      <c r="P605" s="8"/>
      <c r="Q605" s="8"/>
    </row>
    <row r="606" spans="9:17" s="1" customFormat="1" x14ac:dyDescent="0.25">
      <c r="I606" s="8"/>
      <c r="K606" s="8"/>
      <c r="L606" s="8"/>
      <c r="M606" s="8"/>
      <c r="N606" s="8"/>
      <c r="O606" s="8"/>
      <c r="P606" s="8"/>
      <c r="Q606" s="8"/>
    </row>
    <row r="607" spans="9:17" s="1" customFormat="1" x14ac:dyDescent="0.25">
      <c r="I607" s="8"/>
      <c r="K607" s="8"/>
      <c r="L607" s="8"/>
      <c r="M607" s="8"/>
      <c r="N607" s="8"/>
      <c r="O607" s="8"/>
      <c r="P607" s="8"/>
      <c r="Q607" s="8"/>
    </row>
    <row r="608" spans="9:17" s="1" customFormat="1" x14ac:dyDescent="0.25">
      <c r="I608" s="8"/>
      <c r="K608" s="8"/>
      <c r="L608" s="8"/>
      <c r="M608" s="8"/>
      <c r="N608" s="8"/>
      <c r="O608" s="8"/>
      <c r="P608" s="8"/>
      <c r="Q608" s="8"/>
    </row>
    <row r="609" spans="9:17" s="1" customFormat="1" x14ac:dyDescent="0.25">
      <c r="I609" s="8"/>
      <c r="K609" s="8"/>
      <c r="L609" s="8"/>
      <c r="M609" s="8"/>
      <c r="N609" s="8"/>
      <c r="O609" s="8"/>
      <c r="P609" s="8"/>
      <c r="Q609" s="8"/>
    </row>
    <row r="610" spans="9:17" s="1" customFormat="1" x14ac:dyDescent="0.25">
      <c r="I610" s="8"/>
      <c r="K610" s="8"/>
      <c r="L610" s="8"/>
      <c r="M610" s="8"/>
      <c r="N610" s="8"/>
      <c r="O610" s="8"/>
      <c r="P610" s="8"/>
      <c r="Q610" s="8"/>
    </row>
    <row r="611" spans="9:17" s="1" customFormat="1" x14ac:dyDescent="0.25">
      <c r="I611" s="8"/>
      <c r="K611" s="8"/>
      <c r="L611" s="8"/>
      <c r="M611" s="8"/>
      <c r="N611" s="8"/>
      <c r="O611" s="8"/>
      <c r="P611" s="8"/>
      <c r="Q611" s="8"/>
    </row>
    <row r="612" spans="9:17" s="1" customFormat="1" x14ac:dyDescent="0.25">
      <c r="I612" s="8"/>
      <c r="K612" s="8"/>
      <c r="L612" s="8"/>
      <c r="M612" s="8"/>
      <c r="N612" s="8"/>
      <c r="O612" s="8"/>
      <c r="P612" s="8"/>
      <c r="Q612" s="8"/>
    </row>
    <row r="613" spans="9:17" s="1" customFormat="1" x14ac:dyDescent="0.25">
      <c r="I613" s="8"/>
      <c r="K613" s="8"/>
      <c r="L613" s="8"/>
      <c r="M613" s="8"/>
      <c r="N613" s="8"/>
      <c r="O613" s="8"/>
      <c r="P613" s="8"/>
      <c r="Q613" s="8"/>
    </row>
    <row r="614" spans="9:17" s="1" customFormat="1" x14ac:dyDescent="0.25">
      <c r="I614" s="8"/>
      <c r="K614" s="8"/>
      <c r="L614" s="8"/>
      <c r="M614" s="8"/>
      <c r="N614" s="8"/>
      <c r="O614" s="8"/>
      <c r="P614" s="8"/>
      <c r="Q614" s="8"/>
    </row>
    <row r="615" spans="9:17" s="1" customFormat="1" x14ac:dyDescent="0.25">
      <c r="I615" s="8"/>
      <c r="K615" s="8"/>
      <c r="L615" s="8"/>
      <c r="M615" s="8"/>
      <c r="N615" s="8"/>
      <c r="O615" s="8"/>
      <c r="P615" s="8"/>
      <c r="Q615" s="8"/>
    </row>
    <row r="616" spans="9:17" s="1" customFormat="1" x14ac:dyDescent="0.25">
      <c r="I616" s="8"/>
      <c r="K616" s="8"/>
      <c r="L616" s="8"/>
      <c r="M616" s="8"/>
      <c r="N616" s="8"/>
      <c r="O616" s="8"/>
      <c r="P616" s="8"/>
      <c r="Q616" s="8"/>
    </row>
    <row r="617" spans="9:17" s="1" customFormat="1" x14ac:dyDescent="0.25">
      <c r="I617" s="8"/>
      <c r="K617" s="8"/>
      <c r="L617" s="8"/>
      <c r="M617" s="8"/>
      <c r="N617" s="8"/>
      <c r="O617" s="8"/>
      <c r="P617" s="8"/>
      <c r="Q617" s="8"/>
    </row>
    <row r="618" spans="9:17" s="1" customFormat="1" x14ac:dyDescent="0.25">
      <c r="I618" s="8"/>
      <c r="K618" s="8"/>
      <c r="L618" s="8"/>
      <c r="M618" s="8"/>
      <c r="N618" s="8"/>
      <c r="O618" s="8"/>
      <c r="P618" s="8"/>
      <c r="Q618" s="8"/>
    </row>
    <row r="619" spans="9:17" s="1" customFormat="1" x14ac:dyDescent="0.25">
      <c r="I619" s="8"/>
      <c r="K619" s="8"/>
      <c r="L619" s="8"/>
      <c r="M619" s="8"/>
      <c r="N619" s="8"/>
      <c r="O619" s="8"/>
      <c r="P619" s="8"/>
      <c r="Q619" s="8"/>
    </row>
    <row r="620" spans="9:17" s="1" customFormat="1" x14ac:dyDescent="0.25">
      <c r="I620" s="8"/>
      <c r="K620" s="8"/>
      <c r="L620" s="8"/>
      <c r="M620" s="8"/>
      <c r="N620" s="8"/>
      <c r="O620" s="8"/>
      <c r="P620" s="8"/>
      <c r="Q620" s="8"/>
    </row>
    <row r="621" spans="9:17" s="1" customFormat="1" x14ac:dyDescent="0.25">
      <c r="I621" s="8"/>
      <c r="K621" s="8"/>
      <c r="L621" s="8"/>
      <c r="M621" s="8"/>
      <c r="N621" s="8"/>
      <c r="O621" s="8"/>
      <c r="P621" s="8"/>
      <c r="Q621" s="8"/>
    </row>
    <row r="622" spans="9:17" s="1" customFormat="1" x14ac:dyDescent="0.25">
      <c r="I622" s="8"/>
      <c r="K622" s="8"/>
      <c r="L622" s="8"/>
      <c r="M622" s="8"/>
      <c r="N622" s="8"/>
      <c r="O622" s="8"/>
      <c r="P622" s="8"/>
      <c r="Q622" s="8"/>
    </row>
    <row r="623" spans="9:17" s="1" customFormat="1" x14ac:dyDescent="0.25">
      <c r="I623" s="8"/>
      <c r="K623" s="8"/>
      <c r="L623" s="8"/>
      <c r="M623" s="8"/>
      <c r="N623" s="8"/>
      <c r="O623" s="8"/>
      <c r="P623" s="8"/>
      <c r="Q623" s="8"/>
    </row>
    <row r="624" spans="9:17" s="1" customFormat="1" x14ac:dyDescent="0.25">
      <c r="I624" s="8"/>
      <c r="K624" s="8"/>
      <c r="L624" s="8"/>
      <c r="M624" s="8"/>
      <c r="N624" s="8"/>
      <c r="O624" s="8"/>
      <c r="P624" s="8"/>
      <c r="Q624" s="8"/>
    </row>
    <row r="625" spans="9:17" s="1" customFormat="1" x14ac:dyDescent="0.25">
      <c r="I625" s="8"/>
      <c r="K625" s="8"/>
      <c r="L625" s="8"/>
      <c r="M625" s="8"/>
      <c r="N625" s="8"/>
      <c r="O625" s="8"/>
      <c r="P625" s="8"/>
      <c r="Q625" s="8"/>
    </row>
    <row r="626" spans="9:17" s="1" customFormat="1" x14ac:dyDescent="0.25">
      <c r="I626" s="8"/>
      <c r="K626" s="8"/>
      <c r="L626" s="8"/>
      <c r="M626" s="8"/>
      <c r="N626" s="8"/>
      <c r="O626" s="8"/>
      <c r="P626" s="8"/>
      <c r="Q626" s="8"/>
    </row>
    <row r="627" spans="9:17" s="1" customFormat="1" x14ac:dyDescent="0.25">
      <c r="I627" s="8"/>
      <c r="K627" s="8"/>
      <c r="L627" s="8"/>
      <c r="M627" s="8"/>
      <c r="N627" s="8"/>
      <c r="O627" s="8"/>
      <c r="P627" s="8"/>
      <c r="Q627" s="8"/>
    </row>
    <row r="628" spans="9:17" s="1" customFormat="1" x14ac:dyDescent="0.25">
      <c r="I628" s="8"/>
      <c r="K628" s="8"/>
      <c r="L628" s="8"/>
      <c r="M628" s="8"/>
      <c r="N628" s="8"/>
      <c r="O628" s="8"/>
      <c r="P628" s="8"/>
      <c r="Q628" s="8"/>
    </row>
    <row r="629" spans="9:17" s="1" customFormat="1" x14ac:dyDescent="0.25">
      <c r="I629" s="8"/>
      <c r="K629" s="8"/>
      <c r="L629" s="8"/>
      <c r="M629" s="8"/>
      <c r="N629" s="8"/>
      <c r="O629" s="8"/>
      <c r="P629" s="8"/>
      <c r="Q629" s="8"/>
    </row>
    <row r="630" spans="9:17" s="1" customFormat="1" x14ac:dyDescent="0.25">
      <c r="I630" s="8"/>
      <c r="K630" s="8"/>
      <c r="L630" s="8"/>
      <c r="M630" s="8"/>
      <c r="N630" s="8"/>
      <c r="O630" s="8"/>
      <c r="P630" s="8"/>
      <c r="Q630" s="8"/>
    </row>
    <row r="631" spans="9:17" s="1" customFormat="1" x14ac:dyDescent="0.25">
      <c r="I631" s="8"/>
      <c r="K631" s="8"/>
      <c r="L631" s="8"/>
      <c r="M631" s="8"/>
      <c r="N631" s="8"/>
      <c r="O631" s="8"/>
      <c r="P631" s="8"/>
      <c r="Q631" s="8"/>
    </row>
    <row r="632" spans="9:17" s="1" customFormat="1" x14ac:dyDescent="0.25">
      <c r="I632" s="8"/>
      <c r="K632" s="8"/>
      <c r="L632" s="8"/>
      <c r="M632" s="8"/>
      <c r="N632" s="8"/>
      <c r="O632" s="8"/>
      <c r="P632" s="8"/>
      <c r="Q632" s="8"/>
    </row>
    <row r="633" spans="9:17" s="1" customFormat="1" x14ac:dyDescent="0.25">
      <c r="I633" s="8"/>
      <c r="K633" s="8"/>
      <c r="L633" s="8"/>
      <c r="M633" s="8"/>
      <c r="N633" s="8"/>
      <c r="O633" s="8"/>
      <c r="P633" s="8"/>
      <c r="Q633" s="8"/>
    </row>
    <row r="634" spans="9:17" s="1" customFormat="1" x14ac:dyDescent="0.25">
      <c r="I634" s="8"/>
      <c r="K634" s="8"/>
      <c r="L634" s="8"/>
      <c r="M634" s="8"/>
      <c r="N634" s="8"/>
      <c r="O634" s="8"/>
      <c r="P634" s="8"/>
      <c r="Q634" s="8"/>
    </row>
    <row r="635" spans="9:17" s="1" customFormat="1" x14ac:dyDescent="0.25">
      <c r="I635" s="8"/>
      <c r="K635" s="8"/>
      <c r="L635" s="8"/>
      <c r="M635" s="8"/>
      <c r="N635" s="8"/>
      <c r="O635" s="8"/>
      <c r="P635" s="8"/>
      <c r="Q635" s="8"/>
    </row>
    <row r="636" spans="9:17" s="1" customFormat="1" x14ac:dyDescent="0.25">
      <c r="I636" s="8"/>
      <c r="K636" s="8"/>
      <c r="L636" s="8"/>
      <c r="M636" s="8"/>
      <c r="N636" s="8"/>
      <c r="O636" s="8"/>
      <c r="P636" s="8"/>
      <c r="Q636" s="8"/>
    </row>
    <row r="637" spans="9:17" s="1" customFormat="1" x14ac:dyDescent="0.25">
      <c r="I637" s="8"/>
      <c r="K637" s="8"/>
      <c r="L637" s="8"/>
      <c r="M637" s="8"/>
      <c r="N637" s="8"/>
      <c r="O637" s="8"/>
      <c r="P637" s="8"/>
      <c r="Q637" s="8"/>
    </row>
    <row r="638" spans="9:17" s="1" customFormat="1" x14ac:dyDescent="0.25">
      <c r="I638" s="8"/>
      <c r="K638" s="8"/>
      <c r="L638" s="8"/>
      <c r="M638" s="8"/>
      <c r="N638" s="8"/>
      <c r="O638" s="8"/>
      <c r="P638" s="8"/>
      <c r="Q638" s="8"/>
    </row>
    <row r="639" spans="9:17" s="1" customFormat="1" x14ac:dyDescent="0.25">
      <c r="I639" s="8"/>
      <c r="K639" s="8"/>
      <c r="L639" s="8"/>
      <c r="M639" s="8"/>
      <c r="N639" s="8"/>
      <c r="O639" s="8"/>
      <c r="P639" s="8"/>
      <c r="Q639" s="8"/>
    </row>
    <row r="640" spans="9:17" s="1" customFormat="1" x14ac:dyDescent="0.25">
      <c r="I640" s="8"/>
      <c r="K640" s="8"/>
      <c r="L640" s="8"/>
      <c r="M640" s="8"/>
      <c r="N640" s="8"/>
      <c r="O640" s="8"/>
      <c r="P640" s="8"/>
      <c r="Q640" s="8"/>
    </row>
    <row r="641" spans="9:17" s="1" customFormat="1" x14ac:dyDescent="0.25">
      <c r="I641" s="8"/>
      <c r="K641" s="8"/>
      <c r="L641" s="8"/>
      <c r="M641" s="8"/>
      <c r="N641" s="8"/>
      <c r="O641" s="8"/>
      <c r="P641" s="8"/>
      <c r="Q641" s="8"/>
    </row>
    <row r="642" spans="9:17" s="1" customFormat="1" x14ac:dyDescent="0.25">
      <c r="I642" s="8"/>
      <c r="K642" s="8"/>
      <c r="L642" s="8"/>
      <c r="M642" s="8"/>
      <c r="N642" s="8"/>
      <c r="O642" s="8"/>
      <c r="P642" s="8"/>
      <c r="Q642" s="8"/>
    </row>
    <row r="643" spans="9:17" s="1" customFormat="1" x14ac:dyDescent="0.25">
      <c r="I643" s="8"/>
      <c r="K643" s="8"/>
      <c r="L643" s="8"/>
      <c r="M643" s="8"/>
      <c r="N643" s="8"/>
      <c r="O643" s="8"/>
      <c r="P643" s="8"/>
      <c r="Q643" s="8"/>
    </row>
    <row r="644" spans="9:17" s="1" customFormat="1" x14ac:dyDescent="0.25">
      <c r="I644" s="8"/>
      <c r="K644" s="8"/>
      <c r="L644" s="8"/>
      <c r="M644" s="8"/>
      <c r="N644" s="8"/>
      <c r="O644" s="8"/>
      <c r="P644" s="8"/>
      <c r="Q644" s="8"/>
    </row>
    <row r="645" spans="9:17" s="1" customFormat="1" x14ac:dyDescent="0.25">
      <c r="I645" s="8"/>
      <c r="K645" s="8"/>
      <c r="L645" s="8"/>
      <c r="M645" s="8"/>
      <c r="N645" s="8"/>
      <c r="O645" s="8"/>
      <c r="P645" s="8"/>
      <c r="Q645" s="8"/>
    </row>
    <row r="646" spans="9:17" s="1" customFormat="1" x14ac:dyDescent="0.25">
      <c r="I646" s="8"/>
      <c r="K646" s="8"/>
      <c r="L646" s="8"/>
      <c r="M646" s="8"/>
      <c r="N646" s="8"/>
      <c r="O646" s="8"/>
      <c r="P646" s="8"/>
      <c r="Q646" s="8"/>
    </row>
    <row r="647" spans="9:17" s="1" customFormat="1" x14ac:dyDescent="0.25">
      <c r="I647" s="8"/>
      <c r="K647" s="8"/>
      <c r="L647" s="8"/>
      <c r="M647" s="8"/>
      <c r="N647" s="8"/>
      <c r="O647" s="8"/>
      <c r="P647" s="8"/>
      <c r="Q647" s="8"/>
    </row>
    <row r="648" spans="9:17" s="1" customFormat="1" x14ac:dyDescent="0.25">
      <c r="I648" s="8"/>
      <c r="K648" s="8"/>
      <c r="L648" s="8"/>
      <c r="M648" s="8"/>
      <c r="N648" s="8"/>
      <c r="O648" s="8"/>
      <c r="P648" s="8"/>
      <c r="Q648" s="8"/>
    </row>
    <row r="649" spans="9:17" s="1" customFormat="1" x14ac:dyDescent="0.25">
      <c r="I649" s="8"/>
      <c r="K649" s="8"/>
      <c r="L649" s="8"/>
      <c r="M649" s="8"/>
      <c r="N649" s="8"/>
      <c r="O649" s="8"/>
      <c r="P649" s="8"/>
      <c r="Q649" s="8"/>
    </row>
    <row r="650" spans="9:17" s="1" customFormat="1" x14ac:dyDescent="0.25">
      <c r="I650" s="8"/>
      <c r="K650" s="8"/>
      <c r="L650" s="8"/>
      <c r="M650" s="8"/>
      <c r="N650" s="8"/>
      <c r="O650" s="8"/>
      <c r="P650" s="8"/>
      <c r="Q650" s="8"/>
    </row>
    <row r="651" spans="9:17" s="1" customFormat="1" x14ac:dyDescent="0.25">
      <c r="I651" s="8"/>
      <c r="K651" s="8"/>
      <c r="L651" s="8"/>
      <c r="M651" s="8"/>
      <c r="N651" s="8"/>
      <c r="O651" s="8"/>
      <c r="P651" s="8"/>
      <c r="Q651" s="8"/>
    </row>
    <row r="652" spans="9:17" s="1" customFormat="1" x14ac:dyDescent="0.25">
      <c r="I652" s="8"/>
      <c r="K652" s="8"/>
      <c r="L652" s="8"/>
      <c r="M652" s="8"/>
      <c r="N652" s="8"/>
      <c r="O652" s="8"/>
      <c r="P652" s="8"/>
      <c r="Q652" s="8"/>
    </row>
    <row r="653" spans="9:17" s="1" customFormat="1" x14ac:dyDescent="0.25">
      <c r="I653" s="8"/>
      <c r="K653" s="8"/>
      <c r="L653" s="8"/>
      <c r="M653" s="8"/>
      <c r="N653" s="8"/>
      <c r="O653" s="8"/>
      <c r="P653" s="8"/>
      <c r="Q653" s="8"/>
    </row>
    <row r="654" spans="9:17" s="1" customFormat="1" x14ac:dyDescent="0.25">
      <c r="I654" s="8"/>
      <c r="K654" s="8"/>
      <c r="L654" s="8"/>
      <c r="M654" s="8"/>
      <c r="N654" s="8"/>
      <c r="O654" s="8"/>
      <c r="P654" s="8"/>
      <c r="Q654" s="8"/>
    </row>
    <row r="655" spans="9:17" s="1" customFormat="1" x14ac:dyDescent="0.25">
      <c r="I655" s="8"/>
      <c r="K655" s="8"/>
      <c r="L655" s="8"/>
      <c r="M655" s="8"/>
      <c r="N655" s="8"/>
      <c r="O655" s="8"/>
      <c r="P655" s="8"/>
      <c r="Q655" s="8"/>
    </row>
    <row r="656" spans="9:17" s="1" customFormat="1" x14ac:dyDescent="0.25">
      <c r="I656" s="8"/>
      <c r="K656" s="8"/>
      <c r="L656" s="8"/>
      <c r="M656" s="8"/>
      <c r="N656" s="8"/>
      <c r="O656" s="8"/>
      <c r="P656" s="8"/>
      <c r="Q656" s="8"/>
    </row>
    <row r="657" spans="9:17" s="1" customFormat="1" x14ac:dyDescent="0.25">
      <c r="I657" s="8"/>
      <c r="K657" s="8"/>
      <c r="L657" s="8"/>
      <c r="M657" s="8"/>
      <c r="N657" s="8"/>
      <c r="O657" s="8"/>
      <c r="P657" s="8"/>
      <c r="Q657" s="8"/>
    </row>
    <row r="658" spans="9:17" s="1" customFormat="1" x14ac:dyDescent="0.25">
      <c r="I658" s="8"/>
      <c r="K658" s="8"/>
      <c r="L658" s="8"/>
      <c r="M658" s="8"/>
      <c r="N658" s="8"/>
      <c r="O658" s="8"/>
      <c r="P658" s="8"/>
      <c r="Q658" s="8"/>
    </row>
    <row r="659" spans="9:17" s="1" customFormat="1" x14ac:dyDescent="0.25">
      <c r="I659" s="8"/>
      <c r="K659" s="8"/>
      <c r="L659" s="8"/>
      <c r="M659" s="8"/>
      <c r="N659" s="8"/>
      <c r="O659" s="8"/>
      <c r="P659" s="8"/>
      <c r="Q659" s="8"/>
    </row>
    <row r="660" spans="9:17" s="1" customFormat="1" x14ac:dyDescent="0.25">
      <c r="I660" s="8"/>
      <c r="K660" s="8"/>
      <c r="L660" s="8"/>
      <c r="M660" s="8"/>
      <c r="N660" s="8"/>
      <c r="O660" s="8"/>
      <c r="P660" s="8"/>
      <c r="Q660" s="8"/>
    </row>
    <row r="661" spans="9:17" s="1" customFormat="1" x14ac:dyDescent="0.25">
      <c r="I661" s="8"/>
      <c r="K661" s="8"/>
      <c r="L661" s="8"/>
      <c r="M661" s="8"/>
      <c r="N661" s="8"/>
      <c r="O661" s="8"/>
      <c r="P661" s="8"/>
      <c r="Q661" s="8"/>
    </row>
    <row r="662" spans="9:17" s="1" customFormat="1" x14ac:dyDescent="0.25">
      <c r="I662" s="8"/>
      <c r="K662" s="8"/>
      <c r="L662" s="8"/>
      <c r="M662" s="8"/>
      <c r="N662" s="8"/>
      <c r="O662" s="8"/>
      <c r="P662" s="8"/>
      <c r="Q662" s="8"/>
    </row>
    <row r="663" spans="9:17" s="1" customFormat="1" x14ac:dyDescent="0.25">
      <c r="I663" s="8"/>
      <c r="K663" s="8"/>
      <c r="L663" s="8"/>
      <c r="M663" s="8"/>
      <c r="N663" s="8"/>
      <c r="O663" s="8"/>
      <c r="P663" s="8"/>
      <c r="Q663" s="8"/>
    </row>
    <row r="664" spans="9:17" s="1" customFormat="1" x14ac:dyDescent="0.25">
      <c r="I664" s="8"/>
      <c r="K664" s="8"/>
      <c r="L664" s="8"/>
      <c r="M664" s="8"/>
      <c r="N664" s="8"/>
      <c r="O664" s="8"/>
      <c r="P664" s="8"/>
      <c r="Q664" s="8"/>
    </row>
    <row r="665" spans="9:17" s="1" customFormat="1" x14ac:dyDescent="0.25">
      <c r="I665" s="8"/>
      <c r="K665" s="8"/>
      <c r="L665" s="8"/>
      <c r="M665" s="8"/>
      <c r="N665" s="8"/>
      <c r="O665" s="8"/>
      <c r="P665" s="8"/>
      <c r="Q665" s="8"/>
    </row>
    <row r="666" spans="9:17" s="1" customFormat="1" x14ac:dyDescent="0.25">
      <c r="I666" s="8"/>
      <c r="K666" s="8"/>
      <c r="L666" s="8"/>
      <c r="M666" s="8"/>
      <c r="N666" s="8"/>
      <c r="O666" s="8"/>
      <c r="P666" s="8"/>
      <c r="Q666" s="8"/>
    </row>
    <row r="667" spans="9:17" s="1" customFormat="1" x14ac:dyDescent="0.25">
      <c r="I667" s="8"/>
      <c r="K667" s="8"/>
      <c r="L667" s="8"/>
      <c r="M667" s="8"/>
      <c r="N667" s="8"/>
      <c r="O667" s="8"/>
      <c r="P667" s="8"/>
      <c r="Q667" s="8"/>
    </row>
    <row r="668" spans="9:17" s="1" customFormat="1" x14ac:dyDescent="0.25">
      <c r="I668" s="8"/>
      <c r="K668" s="8"/>
      <c r="L668" s="8"/>
      <c r="M668" s="8"/>
      <c r="N668" s="8"/>
      <c r="O668" s="8"/>
      <c r="P668" s="8"/>
      <c r="Q668" s="8"/>
    </row>
    <row r="669" spans="9:17" s="1" customFormat="1" x14ac:dyDescent="0.25">
      <c r="I669" s="8"/>
      <c r="K669" s="8"/>
      <c r="L669" s="8"/>
      <c r="M669" s="8"/>
      <c r="N669" s="8"/>
      <c r="O669" s="8"/>
      <c r="P669" s="8"/>
      <c r="Q669" s="8"/>
    </row>
    <row r="670" spans="9:17" s="1" customFormat="1" x14ac:dyDescent="0.25">
      <c r="I670" s="8"/>
      <c r="K670" s="8"/>
      <c r="L670" s="8"/>
      <c r="M670" s="8"/>
      <c r="N670" s="8"/>
      <c r="O670" s="8"/>
      <c r="P670" s="8"/>
      <c r="Q670" s="8"/>
    </row>
    <row r="671" spans="9:17" s="1" customFormat="1" x14ac:dyDescent="0.25">
      <c r="I671" s="8"/>
      <c r="K671" s="8"/>
      <c r="L671" s="8"/>
      <c r="M671" s="8"/>
      <c r="N671" s="8"/>
      <c r="O671" s="8"/>
      <c r="P671" s="8"/>
      <c r="Q671" s="8"/>
    </row>
    <row r="672" spans="9:17" s="1" customFormat="1" x14ac:dyDescent="0.25">
      <c r="I672" s="8"/>
      <c r="K672" s="8"/>
      <c r="L672" s="8"/>
      <c r="M672" s="8"/>
      <c r="N672" s="8"/>
      <c r="O672" s="8"/>
      <c r="P672" s="8"/>
      <c r="Q672" s="8"/>
    </row>
    <row r="673" spans="9:17" s="1" customFormat="1" x14ac:dyDescent="0.25">
      <c r="I673" s="8"/>
      <c r="K673" s="8"/>
      <c r="L673" s="8"/>
      <c r="M673" s="8"/>
      <c r="N673" s="8"/>
      <c r="O673" s="8"/>
      <c r="P673" s="8"/>
      <c r="Q673" s="8"/>
    </row>
    <row r="674" spans="9:17" s="1" customFormat="1" x14ac:dyDescent="0.25">
      <c r="I674" s="8"/>
      <c r="K674" s="8"/>
      <c r="L674" s="8"/>
      <c r="M674" s="8"/>
      <c r="N674" s="8"/>
      <c r="O674" s="8"/>
      <c r="P674" s="8"/>
      <c r="Q674" s="8"/>
    </row>
    <row r="675" spans="9:17" s="1" customFormat="1" x14ac:dyDescent="0.25">
      <c r="I675" s="8"/>
      <c r="K675" s="8"/>
      <c r="L675" s="8"/>
      <c r="M675" s="8"/>
      <c r="N675" s="8"/>
      <c r="O675" s="8"/>
      <c r="P675" s="8"/>
      <c r="Q675" s="8"/>
    </row>
    <row r="676" spans="9:17" s="1" customFormat="1" x14ac:dyDescent="0.25">
      <c r="I676" s="8"/>
      <c r="K676" s="8"/>
      <c r="L676" s="8"/>
      <c r="M676" s="8"/>
      <c r="N676" s="8"/>
      <c r="O676" s="8"/>
      <c r="P676" s="8"/>
      <c r="Q676" s="8"/>
    </row>
    <row r="677" spans="9:17" s="1" customFormat="1" x14ac:dyDescent="0.25">
      <c r="I677" s="8"/>
      <c r="K677" s="8"/>
      <c r="L677" s="8"/>
      <c r="M677" s="8"/>
      <c r="N677" s="8"/>
      <c r="O677" s="8"/>
      <c r="P677" s="8"/>
      <c r="Q677" s="8"/>
    </row>
    <row r="678" spans="9:17" s="1" customFormat="1" x14ac:dyDescent="0.25">
      <c r="I678" s="8"/>
      <c r="K678" s="8"/>
      <c r="L678" s="8"/>
      <c r="M678" s="8"/>
      <c r="N678" s="8"/>
      <c r="O678" s="8"/>
      <c r="P678" s="8"/>
      <c r="Q678" s="8"/>
    </row>
    <row r="679" spans="9:17" s="1" customFormat="1" x14ac:dyDescent="0.25">
      <c r="I679" s="8"/>
      <c r="K679" s="8"/>
      <c r="L679" s="8"/>
      <c r="M679" s="8"/>
      <c r="N679" s="8"/>
      <c r="O679" s="8"/>
      <c r="P679" s="8"/>
      <c r="Q679" s="8"/>
    </row>
    <row r="680" spans="9:17" s="1" customFormat="1" x14ac:dyDescent="0.25">
      <c r="I680" s="8"/>
      <c r="K680" s="8"/>
      <c r="L680" s="8"/>
      <c r="M680" s="8"/>
      <c r="N680" s="8"/>
      <c r="O680" s="8"/>
      <c r="P680" s="8"/>
      <c r="Q680" s="8"/>
    </row>
    <row r="681" spans="9:17" s="1" customFormat="1" x14ac:dyDescent="0.25">
      <c r="I681" s="8"/>
      <c r="K681" s="8"/>
      <c r="L681" s="8"/>
      <c r="M681" s="8"/>
      <c r="N681" s="8"/>
      <c r="O681" s="8"/>
      <c r="P681" s="8"/>
      <c r="Q681" s="8"/>
    </row>
    <row r="682" spans="9:17" s="1" customFormat="1" x14ac:dyDescent="0.25">
      <c r="I682" s="8"/>
      <c r="K682" s="8"/>
      <c r="L682" s="8"/>
      <c r="M682" s="8"/>
      <c r="N682" s="8"/>
      <c r="O682" s="8"/>
      <c r="P682" s="8"/>
      <c r="Q682" s="8"/>
    </row>
    <row r="683" spans="9:17" s="1" customFormat="1" x14ac:dyDescent="0.25">
      <c r="I683" s="8"/>
      <c r="K683" s="8"/>
      <c r="L683" s="8"/>
      <c r="M683" s="8"/>
      <c r="N683" s="8"/>
      <c r="O683" s="8"/>
      <c r="P683" s="8"/>
      <c r="Q683" s="8"/>
    </row>
    <row r="684" spans="9:17" s="1" customFormat="1" x14ac:dyDescent="0.25">
      <c r="I684" s="8"/>
      <c r="K684" s="8"/>
      <c r="L684" s="8"/>
      <c r="M684" s="8"/>
      <c r="N684" s="8"/>
      <c r="O684" s="8"/>
      <c r="P684" s="8"/>
      <c r="Q684" s="8"/>
    </row>
    <row r="685" spans="9:17" s="1" customFormat="1" x14ac:dyDescent="0.25">
      <c r="I685" s="8"/>
      <c r="K685" s="8"/>
      <c r="L685" s="8"/>
      <c r="M685" s="8"/>
      <c r="N685" s="8"/>
      <c r="O685" s="8"/>
      <c r="P685" s="8"/>
      <c r="Q685" s="8"/>
    </row>
    <row r="686" spans="9:17" s="1" customFormat="1" x14ac:dyDescent="0.25">
      <c r="I686" s="8"/>
      <c r="K686" s="8"/>
      <c r="L686" s="8"/>
      <c r="M686" s="8"/>
      <c r="N686" s="8"/>
      <c r="O686" s="8"/>
      <c r="P686" s="8"/>
      <c r="Q686" s="8"/>
    </row>
    <row r="687" spans="9:17" s="1" customFormat="1" x14ac:dyDescent="0.25">
      <c r="I687" s="8"/>
      <c r="K687" s="8"/>
      <c r="L687" s="8"/>
      <c r="M687" s="8"/>
      <c r="N687" s="8"/>
      <c r="O687" s="8"/>
      <c r="P687" s="8"/>
      <c r="Q687" s="8"/>
    </row>
    <row r="688" spans="9:17" s="1" customFormat="1" x14ac:dyDescent="0.25">
      <c r="I688" s="8"/>
      <c r="K688" s="8"/>
      <c r="L688" s="8"/>
      <c r="M688" s="8"/>
      <c r="N688" s="8"/>
      <c r="O688" s="8"/>
      <c r="P688" s="8"/>
      <c r="Q688" s="8"/>
    </row>
    <row r="689" spans="9:17" s="1" customFormat="1" x14ac:dyDescent="0.25">
      <c r="I689" s="8"/>
      <c r="K689" s="8"/>
      <c r="L689" s="8"/>
      <c r="M689" s="8"/>
      <c r="N689" s="8"/>
      <c r="O689" s="8"/>
      <c r="P689" s="8"/>
      <c r="Q689" s="8"/>
    </row>
    <row r="690" spans="9:17" s="1" customFormat="1" x14ac:dyDescent="0.25">
      <c r="I690" s="8"/>
      <c r="K690" s="8"/>
      <c r="L690" s="8"/>
      <c r="M690" s="8"/>
      <c r="N690" s="8"/>
      <c r="O690" s="8"/>
      <c r="P690" s="8"/>
      <c r="Q690" s="8"/>
    </row>
    <row r="691" spans="9:17" s="1" customFormat="1" x14ac:dyDescent="0.25">
      <c r="I691" s="8"/>
      <c r="K691" s="8"/>
      <c r="L691" s="8"/>
      <c r="M691" s="8"/>
      <c r="N691" s="8"/>
      <c r="O691" s="8"/>
      <c r="P691" s="8"/>
      <c r="Q691" s="8"/>
    </row>
    <row r="692" spans="9:17" s="1" customFormat="1" x14ac:dyDescent="0.25">
      <c r="I692" s="8"/>
      <c r="K692" s="8"/>
      <c r="L692" s="8"/>
      <c r="M692" s="8"/>
      <c r="N692" s="8"/>
      <c r="O692" s="8"/>
      <c r="P692" s="8"/>
      <c r="Q692" s="8"/>
    </row>
    <row r="693" spans="9:17" s="1" customFormat="1" x14ac:dyDescent="0.25">
      <c r="I693" s="8"/>
      <c r="K693" s="8"/>
      <c r="L693" s="8"/>
      <c r="M693" s="8"/>
      <c r="N693" s="8"/>
      <c r="O693" s="8"/>
      <c r="P693" s="8"/>
      <c r="Q693" s="8"/>
    </row>
    <row r="694" spans="9:17" s="1" customFormat="1" x14ac:dyDescent="0.25">
      <c r="I694" s="8"/>
      <c r="K694" s="8"/>
      <c r="L694" s="8"/>
      <c r="M694" s="8"/>
      <c r="N694" s="8"/>
      <c r="O694" s="8"/>
      <c r="P694" s="8"/>
      <c r="Q694" s="8"/>
    </row>
    <row r="695" spans="9:17" s="1" customFormat="1" x14ac:dyDescent="0.25">
      <c r="I695" s="8"/>
      <c r="K695" s="8"/>
      <c r="L695" s="8"/>
      <c r="M695" s="8"/>
      <c r="N695" s="8"/>
      <c r="O695" s="8"/>
      <c r="P695" s="8"/>
      <c r="Q695" s="8"/>
    </row>
    <row r="696" spans="9:17" s="1" customFormat="1" x14ac:dyDescent="0.25">
      <c r="I696" s="8"/>
      <c r="K696" s="8"/>
      <c r="L696" s="8"/>
      <c r="M696" s="8"/>
      <c r="N696" s="8"/>
      <c r="O696" s="8"/>
      <c r="P696" s="8"/>
      <c r="Q696" s="8"/>
    </row>
    <row r="697" spans="9:17" s="1" customFormat="1" x14ac:dyDescent="0.25">
      <c r="I697" s="8"/>
      <c r="K697" s="8"/>
      <c r="L697" s="8"/>
      <c r="M697" s="8"/>
      <c r="N697" s="8"/>
      <c r="O697" s="8"/>
      <c r="P697" s="8"/>
      <c r="Q697" s="8"/>
    </row>
    <row r="698" spans="9:17" s="1" customFormat="1" x14ac:dyDescent="0.25">
      <c r="I698" s="8"/>
      <c r="K698" s="8"/>
      <c r="L698" s="8"/>
      <c r="M698" s="8"/>
      <c r="N698" s="8"/>
      <c r="O698" s="8"/>
      <c r="P698" s="8"/>
      <c r="Q698" s="8"/>
    </row>
    <row r="699" spans="9:17" s="1" customFormat="1" x14ac:dyDescent="0.25">
      <c r="I699" s="8"/>
      <c r="K699" s="8"/>
      <c r="L699" s="8"/>
      <c r="M699" s="8"/>
      <c r="N699" s="8"/>
      <c r="O699" s="8"/>
      <c r="P699" s="8"/>
      <c r="Q699" s="8"/>
    </row>
    <row r="700" spans="9:17" s="1" customFormat="1" x14ac:dyDescent="0.25">
      <c r="I700" s="8"/>
      <c r="K700" s="8"/>
      <c r="L700" s="8"/>
      <c r="M700" s="8"/>
      <c r="N700" s="8"/>
      <c r="O700" s="8"/>
      <c r="P700" s="8"/>
      <c r="Q700" s="8"/>
    </row>
    <row r="701" spans="9:17" s="1" customFormat="1" x14ac:dyDescent="0.25">
      <c r="I701" s="8"/>
      <c r="K701" s="8"/>
      <c r="L701" s="8"/>
      <c r="M701" s="8"/>
      <c r="N701" s="8"/>
      <c r="O701" s="8"/>
      <c r="P701" s="8"/>
      <c r="Q701" s="8"/>
    </row>
    <row r="702" spans="9:17" s="1" customFormat="1" x14ac:dyDescent="0.25">
      <c r="I702" s="8"/>
      <c r="K702" s="8"/>
      <c r="L702" s="8"/>
      <c r="M702" s="8"/>
      <c r="N702" s="8"/>
      <c r="O702" s="8"/>
      <c r="P702" s="8"/>
      <c r="Q702" s="8"/>
    </row>
    <row r="703" spans="9:17" s="1" customFormat="1" x14ac:dyDescent="0.25">
      <c r="I703" s="8"/>
      <c r="K703" s="8"/>
      <c r="L703" s="8"/>
      <c r="M703" s="8"/>
      <c r="N703" s="8"/>
      <c r="O703" s="8"/>
      <c r="P703" s="8"/>
      <c r="Q703" s="8"/>
    </row>
    <row r="704" spans="9:17" s="1" customFormat="1" x14ac:dyDescent="0.25">
      <c r="I704" s="8"/>
      <c r="K704" s="8"/>
      <c r="L704" s="8"/>
      <c r="M704" s="8"/>
      <c r="N704" s="8"/>
      <c r="O704" s="8"/>
      <c r="P704" s="8"/>
      <c r="Q704" s="8"/>
    </row>
    <row r="705" spans="9:17" s="1" customFormat="1" x14ac:dyDescent="0.25">
      <c r="I705" s="8"/>
      <c r="K705" s="8"/>
      <c r="L705" s="8"/>
      <c r="M705" s="8"/>
      <c r="N705" s="8"/>
      <c r="O705" s="8"/>
      <c r="P705" s="8"/>
      <c r="Q705" s="8"/>
    </row>
    <row r="706" spans="9:17" s="1" customFormat="1" x14ac:dyDescent="0.25">
      <c r="I706" s="8"/>
      <c r="K706" s="8"/>
      <c r="L706" s="8"/>
      <c r="M706" s="8"/>
      <c r="N706" s="8"/>
      <c r="O706" s="8"/>
      <c r="P706" s="8"/>
      <c r="Q706" s="8"/>
    </row>
    <row r="707" spans="9:17" s="1" customFormat="1" x14ac:dyDescent="0.25">
      <c r="I707" s="8"/>
      <c r="K707" s="8"/>
      <c r="L707" s="8"/>
      <c r="M707" s="8"/>
      <c r="N707" s="8"/>
      <c r="O707" s="8"/>
      <c r="P707" s="8"/>
      <c r="Q707" s="8"/>
    </row>
    <row r="708" spans="9:17" s="1" customFormat="1" x14ac:dyDescent="0.25">
      <c r="I708" s="8"/>
      <c r="K708" s="8"/>
      <c r="L708" s="8"/>
      <c r="M708" s="8"/>
      <c r="N708" s="8"/>
      <c r="O708" s="8"/>
      <c r="P708" s="8"/>
      <c r="Q708" s="8"/>
    </row>
    <row r="709" spans="9:17" s="1" customFormat="1" x14ac:dyDescent="0.25">
      <c r="I709" s="8"/>
      <c r="K709" s="8"/>
      <c r="L709" s="8"/>
      <c r="M709" s="8"/>
      <c r="N709" s="8"/>
      <c r="O709" s="8"/>
      <c r="P709" s="8"/>
      <c r="Q709" s="8"/>
    </row>
    <row r="710" spans="9:17" s="1" customFormat="1" x14ac:dyDescent="0.25">
      <c r="I710" s="8"/>
      <c r="K710" s="8"/>
      <c r="L710" s="8"/>
      <c r="M710" s="8"/>
      <c r="N710" s="8"/>
      <c r="O710" s="8"/>
      <c r="P710" s="8"/>
      <c r="Q710" s="8"/>
    </row>
    <row r="711" spans="9:17" s="1" customFormat="1" x14ac:dyDescent="0.25">
      <c r="I711" s="8"/>
      <c r="K711" s="8"/>
      <c r="L711" s="8"/>
      <c r="M711" s="8"/>
      <c r="N711" s="8"/>
      <c r="O711" s="8"/>
      <c r="P711" s="8"/>
      <c r="Q711" s="8"/>
    </row>
    <row r="712" spans="9:17" s="1" customFormat="1" x14ac:dyDescent="0.25">
      <c r="I712" s="8"/>
      <c r="K712" s="8"/>
      <c r="L712" s="8"/>
      <c r="M712" s="8"/>
      <c r="N712" s="8"/>
      <c r="O712" s="8"/>
      <c r="P712" s="8"/>
      <c r="Q712" s="8"/>
    </row>
    <row r="713" spans="9:17" s="1" customFormat="1" x14ac:dyDescent="0.25">
      <c r="I713" s="8"/>
      <c r="K713" s="8"/>
      <c r="L713" s="8"/>
      <c r="M713" s="8"/>
      <c r="N713" s="8"/>
      <c r="O713" s="8"/>
      <c r="P713" s="8"/>
      <c r="Q713" s="8"/>
    </row>
    <row r="714" spans="9:17" s="1" customFormat="1" x14ac:dyDescent="0.25">
      <c r="I714" s="8"/>
      <c r="K714" s="8"/>
      <c r="L714" s="8"/>
      <c r="M714" s="8"/>
      <c r="N714" s="8"/>
      <c r="O714" s="8"/>
      <c r="P714" s="8"/>
      <c r="Q714" s="8"/>
    </row>
    <row r="715" spans="9:17" s="1" customFormat="1" x14ac:dyDescent="0.25">
      <c r="I715" s="8"/>
      <c r="K715" s="8"/>
      <c r="L715" s="8"/>
      <c r="M715" s="8"/>
      <c r="N715" s="8"/>
      <c r="O715" s="8"/>
      <c r="P715" s="8"/>
      <c r="Q715" s="8"/>
    </row>
    <row r="716" spans="9:17" s="1" customFormat="1" x14ac:dyDescent="0.25">
      <c r="I716" s="8"/>
      <c r="K716" s="8"/>
      <c r="L716" s="8"/>
      <c r="M716" s="8"/>
      <c r="N716" s="8"/>
      <c r="O716" s="8"/>
      <c r="P716" s="8"/>
      <c r="Q716" s="8"/>
    </row>
    <row r="717" spans="9:17" s="1" customFormat="1" x14ac:dyDescent="0.25">
      <c r="I717" s="8"/>
      <c r="K717" s="8"/>
      <c r="L717" s="8"/>
      <c r="M717" s="8"/>
      <c r="N717" s="8"/>
      <c r="O717" s="8"/>
      <c r="P717" s="8"/>
      <c r="Q717" s="8"/>
    </row>
    <row r="718" spans="9:17" s="1" customFormat="1" x14ac:dyDescent="0.25">
      <c r="I718" s="8"/>
      <c r="K718" s="8"/>
      <c r="L718" s="8"/>
      <c r="M718" s="8"/>
      <c r="N718" s="8"/>
      <c r="O718" s="8"/>
      <c r="P718" s="8"/>
      <c r="Q718" s="8"/>
    </row>
    <row r="719" spans="9:17" s="1" customFormat="1" x14ac:dyDescent="0.25">
      <c r="I719" s="8"/>
      <c r="K719" s="8"/>
      <c r="L719" s="8"/>
      <c r="M719" s="8"/>
      <c r="N719" s="8"/>
      <c r="O719" s="8"/>
      <c r="P719" s="8"/>
      <c r="Q719" s="8"/>
    </row>
    <row r="720" spans="9:17" s="1" customFormat="1" x14ac:dyDescent="0.25">
      <c r="I720" s="8"/>
      <c r="K720" s="8"/>
      <c r="L720" s="8"/>
      <c r="M720" s="8"/>
      <c r="N720" s="8"/>
      <c r="O720" s="8"/>
      <c r="P720" s="8"/>
      <c r="Q720" s="8"/>
    </row>
    <row r="721" spans="9:17" s="1" customFormat="1" x14ac:dyDescent="0.25">
      <c r="I721" s="8"/>
      <c r="K721" s="8"/>
      <c r="L721" s="8"/>
      <c r="M721" s="8"/>
      <c r="N721" s="8"/>
      <c r="O721" s="8"/>
      <c r="P721" s="8"/>
      <c r="Q721" s="8"/>
    </row>
    <row r="722" spans="9:17" s="1" customFormat="1" x14ac:dyDescent="0.25">
      <c r="I722" s="8"/>
      <c r="K722" s="8"/>
      <c r="L722" s="8"/>
      <c r="M722" s="8"/>
      <c r="N722" s="8"/>
      <c r="O722" s="8"/>
      <c r="P722" s="8"/>
      <c r="Q722" s="8"/>
    </row>
    <row r="723" spans="9:17" s="1" customFormat="1" x14ac:dyDescent="0.25">
      <c r="I723" s="8"/>
      <c r="K723" s="8"/>
      <c r="L723" s="8"/>
      <c r="M723" s="8"/>
      <c r="N723" s="8"/>
      <c r="O723" s="8"/>
      <c r="P723" s="8"/>
      <c r="Q723" s="8"/>
    </row>
    <row r="724" spans="9:17" s="1" customFormat="1" x14ac:dyDescent="0.25">
      <c r="I724" s="8"/>
      <c r="K724" s="8"/>
      <c r="L724" s="8"/>
      <c r="M724" s="8"/>
      <c r="N724" s="8"/>
      <c r="O724" s="8"/>
      <c r="P724" s="8"/>
      <c r="Q724" s="8"/>
    </row>
    <row r="725" spans="9:17" s="1" customFormat="1" x14ac:dyDescent="0.25">
      <c r="I725" s="8"/>
      <c r="K725" s="8"/>
      <c r="L725" s="8"/>
      <c r="M725" s="8"/>
      <c r="N725" s="8"/>
      <c r="O725" s="8"/>
      <c r="P725" s="8"/>
      <c r="Q725" s="8"/>
    </row>
    <row r="726" spans="9:17" s="1" customFormat="1" x14ac:dyDescent="0.25">
      <c r="I726" s="8"/>
      <c r="K726" s="8"/>
      <c r="L726" s="8"/>
      <c r="M726" s="8"/>
      <c r="N726" s="8"/>
      <c r="O726" s="8"/>
      <c r="P726" s="8"/>
      <c r="Q726" s="8"/>
    </row>
    <row r="727" spans="9:17" s="1" customFormat="1" x14ac:dyDescent="0.25">
      <c r="I727" s="8"/>
      <c r="K727" s="8"/>
      <c r="L727" s="8"/>
      <c r="M727" s="8"/>
      <c r="N727" s="8"/>
      <c r="O727" s="8"/>
      <c r="P727" s="8"/>
      <c r="Q727" s="8"/>
    </row>
    <row r="728" spans="9:17" s="1" customFormat="1" x14ac:dyDescent="0.25">
      <c r="I728" s="8"/>
      <c r="K728" s="8"/>
      <c r="L728" s="8"/>
      <c r="M728" s="8"/>
      <c r="N728" s="8"/>
      <c r="O728" s="8"/>
      <c r="P728" s="8"/>
      <c r="Q728" s="8"/>
    </row>
    <row r="729" spans="9:17" s="1" customFormat="1" x14ac:dyDescent="0.25">
      <c r="I729" s="8"/>
      <c r="K729" s="8"/>
      <c r="L729" s="8"/>
      <c r="M729" s="8"/>
      <c r="N729" s="8"/>
      <c r="O729" s="8"/>
      <c r="P729" s="8"/>
      <c r="Q729" s="8"/>
    </row>
    <row r="730" spans="9:17" s="1" customFormat="1" x14ac:dyDescent="0.25">
      <c r="I730" s="8"/>
      <c r="K730" s="8"/>
      <c r="L730" s="8"/>
      <c r="M730" s="8"/>
      <c r="N730" s="8"/>
      <c r="O730" s="8"/>
      <c r="P730" s="8"/>
      <c r="Q730" s="8"/>
    </row>
    <row r="731" spans="9:17" s="1" customFormat="1" x14ac:dyDescent="0.25">
      <c r="I731" s="8"/>
      <c r="K731" s="8"/>
      <c r="L731" s="8"/>
      <c r="M731" s="8"/>
      <c r="N731" s="8"/>
      <c r="O731" s="8"/>
      <c r="P731" s="8"/>
      <c r="Q731" s="8"/>
    </row>
    <row r="732" spans="9:17" s="1" customFormat="1" x14ac:dyDescent="0.25">
      <c r="I732" s="8"/>
      <c r="K732" s="8"/>
      <c r="L732" s="8"/>
      <c r="M732" s="8"/>
      <c r="N732" s="8"/>
      <c r="O732" s="8"/>
      <c r="P732" s="8"/>
      <c r="Q732" s="8"/>
    </row>
    <row r="733" spans="9:17" s="1" customFormat="1" x14ac:dyDescent="0.25">
      <c r="I733" s="8"/>
      <c r="K733" s="8"/>
      <c r="L733" s="8"/>
      <c r="M733" s="8"/>
      <c r="N733" s="8"/>
      <c r="O733" s="8"/>
      <c r="P733" s="8"/>
      <c r="Q733" s="8"/>
    </row>
    <row r="734" spans="9:17" s="1" customFormat="1" x14ac:dyDescent="0.25">
      <c r="I734" s="8"/>
      <c r="K734" s="8"/>
      <c r="L734" s="8"/>
      <c r="M734" s="8"/>
      <c r="N734" s="8"/>
      <c r="O734" s="8"/>
      <c r="P734" s="8"/>
      <c r="Q734" s="8"/>
    </row>
    <row r="735" spans="9:17" s="1" customFormat="1" x14ac:dyDescent="0.25">
      <c r="I735" s="8"/>
      <c r="K735" s="8"/>
      <c r="L735" s="8"/>
      <c r="M735" s="8"/>
      <c r="N735" s="8"/>
      <c r="O735" s="8"/>
      <c r="P735" s="8"/>
      <c r="Q735" s="8"/>
    </row>
    <row r="736" spans="9:17" s="1" customFormat="1" x14ac:dyDescent="0.25">
      <c r="I736" s="8"/>
      <c r="K736" s="8"/>
      <c r="L736" s="8"/>
      <c r="M736" s="8"/>
      <c r="N736" s="8"/>
      <c r="O736" s="8"/>
      <c r="P736" s="8"/>
      <c r="Q736" s="8"/>
    </row>
    <row r="737" spans="9:17" s="1" customFormat="1" x14ac:dyDescent="0.25">
      <c r="I737" s="8"/>
      <c r="K737" s="8"/>
      <c r="L737" s="8"/>
      <c r="M737" s="8"/>
      <c r="N737" s="8"/>
      <c r="O737" s="8"/>
      <c r="P737" s="8"/>
      <c r="Q737" s="8"/>
    </row>
    <row r="738" spans="9:17" s="1" customFormat="1" x14ac:dyDescent="0.25">
      <c r="I738" s="8"/>
      <c r="K738" s="8"/>
      <c r="L738" s="8"/>
      <c r="M738" s="8"/>
      <c r="N738" s="8"/>
      <c r="O738" s="8"/>
      <c r="P738" s="8"/>
      <c r="Q738" s="8"/>
    </row>
    <row r="739" spans="9:17" s="1" customFormat="1" x14ac:dyDescent="0.25">
      <c r="I739" s="8"/>
      <c r="K739" s="8"/>
      <c r="L739" s="8"/>
      <c r="M739" s="8"/>
      <c r="N739" s="8"/>
      <c r="O739" s="8"/>
      <c r="P739" s="8"/>
      <c r="Q739" s="8"/>
    </row>
    <row r="740" spans="9:17" s="1" customFormat="1" x14ac:dyDescent="0.25">
      <c r="I740" s="8"/>
      <c r="K740" s="8"/>
      <c r="L740" s="8"/>
      <c r="M740" s="8"/>
      <c r="N740" s="8"/>
      <c r="O740" s="8"/>
      <c r="P740" s="8"/>
      <c r="Q740" s="8"/>
    </row>
    <row r="741" spans="9:17" s="1" customFormat="1" x14ac:dyDescent="0.25">
      <c r="I741" s="8"/>
      <c r="K741" s="8"/>
      <c r="L741" s="8"/>
      <c r="M741" s="8"/>
      <c r="N741" s="8"/>
      <c r="O741" s="8"/>
      <c r="P741" s="8"/>
      <c r="Q741" s="8"/>
    </row>
    <row r="742" spans="9:17" s="1" customFormat="1" x14ac:dyDescent="0.25">
      <c r="I742" s="8"/>
      <c r="K742" s="8"/>
      <c r="L742" s="8"/>
      <c r="M742" s="8"/>
      <c r="N742" s="8"/>
      <c r="O742" s="8"/>
      <c r="P742" s="8"/>
      <c r="Q742" s="8"/>
    </row>
    <row r="743" spans="9:17" s="1" customFormat="1" x14ac:dyDescent="0.25">
      <c r="I743" s="8"/>
      <c r="K743" s="8"/>
      <c r="L743" s="8"/>
      <c r="M743" s="8"/>
      <c r="N743" s="8"/>
      <c r="O743" s="8"/>
      <c r="P743" s="8"/>
      <c r="Q743" s="8"/>
    </row>
    <row r="744" spans="9:17" s="1" customFormat="1" x14ac:dyDescent="0.25">
      <c r="I744" s="8"/>
      <c r="K744" s="8"/>
      <c r="L744" s="8"/>
      <c r="M744" s="8"/>
      <c r="N744" s="8"/>
      <c r="O744" s="8"/>
      <c r="P744" s="8"/>
      <c r="Q744" s="8"/>
    </row>
    <row r="745" spans="9:17" s="1" customFormat="1" x14ac:dyDescent="0.25">
      <c r="I745" s="8"/>
      <c r="K745" s="8"/>
      <c r="L745" s="8"/>
      <c r="M745" s="8"/>
      <c r="N745" s="8"/>
      <c r="O745" s="8"/>
      <c r="P745" s="8"/>
      <c r="Q745" s="8"/>
    </row>
    <row r="746" spans="9:17" s="1" customFormat="1" x14ac:dyDescent="0.25">
      <c r="I746" s="8"/>
      <c r="K746" s="8"/>
      <c r="L746" s="8"/>
      <c r="M746" s="8"/>
      <c r="N746" s="8"/>
      <c r="O746" s="8"/>
      <c r="P746" s="8"/>
      <c r="Q746" s="8"/>
    </row>
    <row r="747" spans="9:17" s="1" customFormat="1" x14ac:dyDescent="0.25">
      <c r="I747" s="8"/>
      <c r="K747" s="8"/>
      <c r="L747" s="8"/>
      <c r="M747" s="8"/>
      <c r="N747" s="8"/>
      <c r="O747" s="8"/>
      <c r="P747" s="8"/>
      <c r="Q747" s="8"/>
    </row>
    <row r="748" spans="9:17" s="1" customFormat="1" x14ac:dyDescent="0.25">
      <c r="I748" s="8"/>
      <c r="K748" s="8"/>
      <c r="L748" s="8"/>
      <c r="M748" s="8"/>
      <c r="N748" s="8"/>
      <c r="O748" s="8"/>
      <c r="P748" s="8"/>
      <c r="Q748" s="8"/>
    </row>
    <row r="749" spans="9:17" s="1" customFormat="1" x14ac:dyDescent="0.25">
      <c r="I749" s="8"/>
      <c r="K749" s="8"/>
      <c r="L749" s="8"/>
      <c r="M749" s="8"/>
      <c r="N749" s="8"/>
      <c r="O749" s="8"/>
      <c r="P749" s="8"/>
      <c r="Q749" s="8"/>
    </row>
    <row r="750" spans="9:17" s="1" customFormat="1" x14ac:dyDescent="0.25">
      <c r="I750" s="8"/>
      <c r="K750" s="8"/>
      <c r="L750" s="8"/>
      <c r="M750" s="8"/>
      <c r="N750" s="8"/>
      <c r="O750" s="8"/>
      <c r="P750" s="8"/>
      <c r="Q750" s="8"/>
    </row>
    <row r="751" spans="9:17" s="1" customFormat="1" x14ac:dyDescent="0.25">
      <c r="I751" s="8"/>
      <c r="K751" s="8"/>
      <c r="L751" s="8"/>
      <c r="M751" s="8"/>
      <c r="N751" s="8"/>
      <c r="O751" s="8"/>
      <c r="P751" s="8"/>
      <c r="Q751" s="8"/>
    </row>
    <row r="752" spans="9:17" s="1" customFormat="1" x14ac:dyDescent="0.25">
      <c r="I752" s="8"/>
      <c r="K752" s="8"/>
      <c r="L752" s="8"/>
      <c r="M752" s="8"/>
      <c r="N752" s="8"/>
      <c r="O752" s="8"/>
      <c r="P752" s="8"/>
      <c r="Q752" s="8"/>
    </row>
    <row r="753" spans="9:17" s="1" customFormat="1" x14ac:dyDescent="0.25">
      <c r="I753" s="8"/>
      <c r="K753" s="8"/>
      <c r="L753" s="8"/>
      <c r="M753" s="8"/>
      <c r="N753" s="8"/>
      <c r="O753" s="8"/>
      <c r="P753" s="8"/>
      <c r="Q753" s="8"/>
    </row>
    <row r="754" spans="9:17" s="1" customFormat="1" x14ac:dyDescent="0.25">
      <c r="I754" s="8"/>
      <c r="K754" s="8"/>
      <c r="L754" s="8"/>
      <c r="M754" s="8"/>
      <c r="N754" s="8"/>
      <c r="O754" s="8"/>
      <c r="P754" s="8"/>
      <c r="Q754" s="8"/>
    </row>
    <row r="755" spans="9:17" s="1" customFormat="1" x14ac:dyDescent="0.25">
      <c r="I755" s="8"/>
      <c r="K755" s="8"/>
      <c r="L755" s="8"/>
      <c r="M755" s="8"/>
      <c r="N755" s="8"/>
      <c r="O755" s="8"/>
      <c r="P755" s="8"/>
      <c r="Q755" s="8"/>
    </row>
    <row r="756" spans="9:17" s="1" customFormat="1" x14ac:dyDescent="0.25">
      <c r="I756" s="8"/>
      <c r="K756" s="8"/>
      <c r="L756" s="8"/>
      <c r="M756" s="8"/>
      <c r="N756" s="8"/>
      <c r="O756" s="8"/>
      <c r="P756" s="8"/>
      <c r="Q756" s="8"/>
    </row>
    <row r="757" spans="9:17" s="1" customFormat="1" x14ac:dyDescent="0.25">
      <c r="I757" s="8"/>
      <c r="K757" s="8"/>
      <c r="L757" s="8"/>
      <c r="M757" s="8"/>
      <c r="N757" s="8"/>
      <c r="O757" s="8"/>
      <c r="P757" s="8"/>
      <c r="Q757" s="8"/>
    </row>
    <row r="758" spans="9:17" s="1" customFormat="1" x14ac:dyDescent="0.25">
      <c r="I758" s="8"/>
      <c r="K758" s="8"/>
      <c r="L758" s="8"/>
      <c r="M758" s="8"/>
      <c r="N758" s="8"/>
      <c r="O758" s="8"/>
      <c r="P758" s="8"/>
      <c r="Q758" s="8"/>
    </row>
    <row r="759" spans="9:17" s="1" customFormat="1" x14ac:dyDescent="0.25">
      <c r="I759" s="8"/>
      <c r="K759" s="8"/>
      <c r="L759" s="8"/>
      <c r="M759" s="8"/>
      <c r="N759" s="8"/>
      <c r="O759" s="8"/>
      <c r="P759" s="8"/>
      <c r="Q759" s="8"/>
    </row>
    <row r="760" spans="9:17" s="1" customFormat="1" x14ac:dyDescent="0.25">
      <c r="I760" s="8"/>
      <c r="K760" s="8"/>
      <c r="L760" s="8"/>
      <c r="M760" s="8"/>
      <c r="N760" s="8"/>
      <c r="O760" s="8"/>
      <c r="P760" s="8"/>
      <c r="Q760" s="8"/>
    </row>
    <row r="761" spans="9:17" s="1" customFormat="1" x14ac:dyDescent="0.25">
      <c r="I761" s="8"/>
      <c r="K761" s="8"/>
      <c r="L761" s="8"/>
      <c r="M761" s="8"/>
      <c r="N761" s="8"/>
      <c r="O761" s="8"/>
      <c r="P761" s="8"/>
      <c r="Q761" s="8"/>
    </row>
    <row r="762" spans="9:17" s="1" customFormat="1" x14ac:dyDescent="0.25">
      <c r="I762" s="8"/>
      <c r="K762" s="8"/>
      <c r="L762" s="8"/>
      <c r="M762" s="8"/>
      <c r="N762" s="8"/>
      <c r="O762" s="8"/>
      <c r="P762" s="8"/>
      <c r="Q762" s="8"/>
    </row>
    <row r="763" spans="9:17" s="1" customFormat="1" x14ac:dyDescent="0.25">
      <c r="I763" s="8"/>
      <c r="K763" s="8"/>
      <c r="L763" s="8"/>
      <c r="M763" s="8"/>
      <c r="N763" s="8"/>
      <c r="O763" s="8"/>
      <c r="P763" s="8"/>
      <c r="Q763" s="8"/>
    </row>
    <row r="764" spans="9:17" s="1" customFormat="1" x14ac:dyDescent="0.25">
      <c r="I764" s="8"/>
      <c r="K764" s="8"/>
      <c r="L764" s="8"/>
      <c r="M764" s="8"/>
      <c r="N764" s="8"/>
      <c r="O764" s="8"/>
      <c r="P764" s="8"/>
      <c r="Q764" s="8"/>
    </row>
    <row r="765" spans="9:17" s="1" customFormat="1" x14ac:dyDescent="0.25">
      <c r="I765" s="8"/>
      <c r="K765" s="8"/>
      <c r="L765" s="8"/>
      <c r="M765" s="8"/>
      <c r="N765" s="8"/>
      <c r="O765" s="8"/>
      <c r="P765" s="8"/>
      <c r="Q765" s="8"/>
    </row>
    <row r="766" spans="9:17" s="1" customFormat="1" x14ac:dyDescent="0.25">
      <c r="I766" s="8"/>
      <c r="K766" s="8"/>
      <c r="L766" s="8"/>
      <c r="M766" s="8"/>
      <c r="N766" s="8"/>
      <c r="O766" s="8"/>
      <c r="P766" s="8"/>
      <c r="Q766" s="8"/>
    </row>
    <row r="767" spans="9:17" s="1" customFormat="1" x14ac:dyDescent="0.25">
      <c r="I767" s="8"/>
      <c r="K767" s="8"/>
      <c r="L767" s="8"/>
      <c r="M767" s="8"/>
      <c r="N767" s="8"/>
      <c r="O767" s="8"/>
      <c r="P767" s="8"/>
      <c r="Q767" s="8"/>
    </row>
    <row r="768" spans="9:17" s="1" customFormat="1" x14ac:dyDescent="0.25">
      <c r="I768" s="8"/>
      <c r="K768" s="8"/>
      <c r="L768" s="8"/>
      <c r="M768" s="8"/>
      <c r="N768" s="8"/>
      <c r="O768" s="8"/>
      <c r="P768" s="8"/>
      <c r="Q768" s="8"/>
    </row>
    <row r="769" spans="9:17" s="1" customFormat="1" x14ac:dyDescent="0.25">
      <c r="I769" s="8"/>
      <c r="K769" s="8"/>
      <c r="L769" s="8"/>
      <c r="M769" s="8"/>
      <c r="N769" s="8"/>
      <c r="O769" s="8"/>
      <c r="P769" s="8"/>
      <c r="Q769" s="8"/>
    </row>
    <row r="770" spans="9:17" s="1" customFormat="1" x14ac:dyDescent="0.25">
      <c r="I770" s="8"/>
      <c r="K770" s="8"/>
      <c r="L770" s="8"/>
      <c r="M770" s="8"/>
      <c r="N770" s="8"/>
      <c r="O770" s="8"/>
      <c r="P770" s="8"/>
      <c r="Q770" s="8"/>
    </row>
    <row r="771" spans="9:17" s="1" customFormat="1" x14ac:dyDescent="0.25">
      <c r="I771" s="8"/>
      <c r="K771" s="8"/>
      <c r="L771" s="8"/>
      <c r="M771" s="8"/>
      <c r="N771" s="8"/>
      <c r="O771" s="8"/>
      <c r="P771" s="8"/>
      <c r="Q771" s="8"/>
    </row>
    <row r="772" spans="9:17" s="1" customFormat="1" x14ac:dyDescent="0.25">
      <c r="I772" s="8"/>
      <c r="K772" s="8"/>
      <c r="L772" s="8"/>
      <c r="M772" s="8"/>
      <c r="N772" s="8"/>
      <c r="O772" s="8"/>
      <c r="P772" s="8"/>
      <c r="Q772" s="8"/>
    </row>
    <row r="773" spans="9:17" s="1" customFormat="1" x14ac:dyDescent="0.25">
      <c r="I773" s="8"/>
      <c r="K773" s="8"/>
      <c r="L773" s="8"/>
      <c r="M773" s="8"/>
      <c r="N773" s="8"/>
      <c r="O773" s="8"/>
      <c r="P773" s="8"/>
      <c r="Q773" s="8"/>
    </row>
    <row r="774" spans="9:17" s="1" customFormat="1" x14ac:dyDescent="0.25">
      <c r="I774" s="8"/>
      <c r="K774" s="8"/>
      <c r="L774" s="8"/>
      <c r="M774" s="8"/>
      <c r="N774" s="8"/>
      <c r="O774" s="8"/>
      <c r="P774" s="8"/>
      <c r="Q774" s="8"/>
    </row>
    <row r="775" spans="9:17" s="1" customFormat="1" x14ac:dyDescent="0.25">
      <c r="I775" s="8"/>
      <c r="K775" s="8"/>
      <c r="L775" s="8"/>
      <c r="M775" s="8"/>
      <c r="N775" s="8"/>
      <c r="O775" s="8"/>
      <c r="P775" s="8"/>
      <c r="Q775" s="8"/>
    </row>
    <row r="776" spans="9:17" s="1" customFormat="1" x14ac:dyDescent="0.25">
      <c r="I776" s="8"/>
      <c r="K776" s="8"/>
      <c r="L776" s="8"/>
      <c r="M776" s="8"/>
      <c r="N776" s="8"/>
      <c r="O776" s="8"/>
      <c r="P776" s="8"/>
      <c r="Q776" s="8"/>
    </row>
    <row r="777" spans="9:17" s="1" customFormat="1" x14ac:dyDescent="0.25">
      <c r="I777" s="8"/>
      <c r="K777" s="8"/>
      <c r="L777" s="8"/>
      <c r="M777" s="8"/>
      <c r="N777" s="8"/>
      <c r="O777" s="8"/>
      <c r="P777" s="8"/>
      <c r="Q777" s="8"/>
    </row>
    <row r="778" spans="9:17" s="1" customFormat="1" x14ac:dyDescent="0.25">
      <c r="I778" s="8"/>
      <c r="K778" s="8"/>
      <c r="L778" s="8"/>
      <c r="M778" s="8"/>
      <c r="N778" s="8"/>
      <c r="O778" s="8"/>
      <c r="P778" s="8"/>
      <c r="Q778" s="8"/>
    </row>
    <row r="779" spans="9:17" s="1" customFormat="1" x14ac:dyDescent="0.25">
      <c r="I779" s="8"/>
      <c r="K779" s="8"/>
      <c r="L779" s="8"/>
      <c r="M779" s="8"/>
      <c r="N779" s="8"/>
      <c r="O779" s="8"/>
      <c r="P779" s="8"/>
      <c r="Q779" s="8"/>
    </row>
    <row r="780" spans="9:17" s="1" customFormat="1" x14ac:dyDescent="0.25">
      <c r="I780" s="8"/>
      <c r="K780" s="8"/>
      <c r="L780" s="8"/>
      <c r="M780" s="8"/>
      <c r="N780" s="8"/>
      <c r="O780" s="8"/>
      <c r="P780" s="8"/>
      <c r="Q780" s="8"/>
    </row>
    <row r="781" spans="9:17" s="1" customFormat="1" x14ac:dyDescent="0.25">
      <c r="I781" s="8"/>
      <c r="K781" s="8"/>
      <c r="L781" s="8"/>
      <c r="M781" s="8"/>
      <c r="N781" s="8"/>
      <c r="O781" s="8"/>
      <c r="P781" s="8"/>
      <c r="Q781" s="8"/>
    </row>
    <row r="782" spans="9:17" s="1" customFormat="1" x14ac:dyDescent="0.25">
      <c r="I782" s="8"/>
      <c r="K782" s="8"/>
      <c r="L782" s="8"/>
      <c r="M782" s="8"/>
      <c r="N782" s="8"/>
      <c r="O782" s="8"/>
      <c r="P782" s="8"/>
      <c r="Q782" s="8"/>
    </row>
    <row r="783" spans="9:17" s="1" customFormat="1" x14ac:dyDescent="0.25">
      <c r="I783" s="8"/>
      <c r="K783" s="8"/>
      <c r="L783" s="8"/>
      <c r="M783" s="8"/>
      <c r="N783" s="8"/>
      <c r="O783" s="8"/>
      <c r="P783" s="8"/>
      <c r="Q783" s="8"/>
    </row>
    <row r="784" spans="9:17" s="1" customFormat="1" x14ac:dyDescent="0.25">
      <c r="I784" s="8"/>
      <c r="K784" s="8"/>
      <c r="L784" s="8"/>
      <c r="M784" s="8"/>
      <c r="N784" s="8"/>
      <c r="O784" s="8"/>
      <c r="P784" s="8"/>
      <c r="Q784" s="8"/>
    </row>
    <row r="785" spans="9:17" s="1" customFormat="1" x14ac:dyDescent="0.25">
      <c r="I785" s="8"/>
      <c r="K785" s="8"/>
      <c r="L785" s="8"/>
      <c r="M785" s="8"/>
      <c r="N785" s="8"/>
      <c r="O785" s="8"/>
      <c r="P785" s="8"/>
      <c r="Q785" s="8"/>
    </row>
    <row r="786" spans="9:17" s="1" customFormat="1" x14ac:dyDescent="0.25">
      <c r="I786" s="8"/>
      <c r="K786" s="8"/>
      <c r="L786" s="8"/>
      <c r="M786" s="8"/>
      <c r="N786" s="8"/>
      <c r="O786" s="8"/>
      <c r="P786" s="8"/>
      <c r="Q786" s="8"/>
    </row>
    <row r="787" spans="9:17" s="1" customFormat="1" x14ac:dyDescent="0.25">
      <c r="I787" s="8"/>
      <c r="K787" s="8"/>
      <c r="L787" s="8"/>
      <c r="M787" s="8"/>
      <c r="N787" s="8"/>
      <c r="O787" s="8"/>
      <c r="P787" s="8"/>
      <c r="Q787" s="8"/>
    </row>
    <row r="788" spans="9:17" s="1" customFormat="1" x14ac:dyDescent="0.25">
      <c r="I788" s="8"/>
      <c r="K788" s="8"/>
      <c r="L788" s="8"/>
      <c r="M788" s="8"/>
      <c r="N788" s="8"/>
      <c r="O788" s="8"/>
      <c r="P788" s="8"/>
      <c r="Q788" s="8"/>
    </row>
    <row r="789" spans="9:17" s="1" customFormat="1" x14ac:dyDescent="0.25">
      <c r="I789" s="8"/>
      <c r="K789" s="8"/>
      <c r="L789" s="8"/>
      <c r="M789" s="8"/>
      <c r="N789" s="8"/>
      <c r="O789" s="8"/>
      <c r="P789" s="8"/>
      <c r="Q789" s="8"/>
    </row>
    <row r="790" spans="9:17" s="1" customFormat="1" x14ac:dyDescent="0.25">
      <c r="I790" s="8"/>
      <c r="K790" s="8"/>
      <c r="L790" s="8"/>
      <c r="M790" s="8"/>
      <c r="N790" s="8"/>
      <c r="O790" s="8"/>
      <c r="P790" s="8"/>
      <c r="Q790" s="8"/>
    </row>
    <row r="791" spans="9:17" s="1" customFormat="1" x14ac:dyDescent="0.25">
      <c r="I791" s="8"/>
      <c r="K791" s="8"/>
      <c r="L791" s="8"/>
      <c r="M791" s="8"/>
      <c r="N791" s="8"/>
      <c r="O791" s="8"/>
      <c r="P791" s="8"/>
      <c r="Q791" s="8"/>
    </row>
    <row r="792" spans="9:17" s="1" customFormat="1" x14ac:dyDescent="0.25">
      <c r="I792" s="8"/>
      <c r="K792" s="8"/>
      <c r="L792" s="8"/>
      <c r="M792" s="8"/>
      <c r="N792" s="8"/>
      <c r="O792" s="8"/>
      <c r="P792" s="8"/>
      <c r="Q792" s="8"/>
    </row>
    <row r="793" spans="9:17" s="1" customFormat="1" x14ac:dyDescent="0.25">
      <c r="I793" s="8"/>
      <c r="K793" s="8"/>
      <c r="L793" s="8"/>
      <c r="M793" s="8"/>
      <c r="N793" s="8"/>
      <c r="O793" s="8"/>
      <c r="P793" s="8"/>
      <c r="Q793" s="8"/>
    </row>
    <row r="794" spans="9:17" s="1" customFormat="1" x14ac:dyDescent="0.25">
      <c r="I794" s="8"/>
      <c r="K794" s="8"/>
      <c r="L794" s="8"/>
      <c r="M794" s="8"/>
      <c r="N794" s="8"/>
      <c r="O794" s="8"/>
      <c r="P794" s="8"/>
      <c r="Q794" s="8"/>
    </row>
    <row r="795" spans="9:17" s="1" customFormat="1" x14ac:dyDescent="0.25">
      <c r="I795" s="8"/>
      <c r="K795" s="8"/>
      <c r="L795" s="8"/>
      <c r="M795" s="8"/>
      <c r="N795" s="8"/>
      <c r="O795" s="8"/>
      <c r="P795" s="8"/>
      <c r="Q795" s="8"/>
    </row>
    <row r="796" spans="9:17" s="1" customFormat="1" x14ac:dyDescent="0.25">
      <c r="I796" s="8"/>
      <c r="K796" s="8"/>
      <c r="L796" s="8"/>
      <c r="M796" s="8"/>
      <c r="N796" s="8"/>
      <c r="O796" s="8"/>
      <c r="P796" s="8"/>
      <c r="Q796" s="8"/>
    </row>
    <row r="797" spans="9:17" s="1" customFormat="1" x14ac:dyDescent="0.25">
      <c r="I797" s="8"/>
      <c r="K797" s="8"/>
      <c r="L797" s="8"/>
      <c r="M797" s="8"/>
      <c r="N797" s="8"/>
      <c r="O797" s="8"/>
      <c r="P797" s="8"/>
      <c r="Q797" s="8"/>
    </row>
    <row r="798" spans="9:17" s="1" customFormat="1" x14ac:dyDescent="0.25">
      <c r="I798" s="8"/>
      <c r="K798" s="8"/>
      <c r="L798" s="8"/>
      <c r="M798" s="8"/>
      <c r="N798" s="8"/>
      <c r="O798" s="8"/>
      <c r="P798" s="8"/>
      <c r="Q798" s="8"/>
    </row>
    <row r="799" spans="9:17" s="1" customFormat="1" x14ac:dyDescent="0.25">
      <c r="I799" s="8"/>
      <c r="K799" s="8"/>
      <c r="L799" s="8"/>
      <c r="M799" s="8"/>
      <c r="N799" s="8"/>
      <c r="O799" s="8"/>
      <c r="P799" s="8"/>
      <c r="Q799" s="8"/>
    </row>
    <row r="800" spans="9:17" s="1" customFormat="1" x14ac:dyDescent="0.25">
      <c r="I800" s="8"/>
      <c r="K800" s="8"/>
      <c r="L800" s="8"/>
      <c r="M800" s="8"/>
      <c r="N800" s="8"/>
      <c r="O800" s="8"/>
      <c r="P800" s="8"/>
      <c r="Q800" s="8"/>
    </row>
    <row r="801" spans="9:17" s="1" customFormat="1" x14ac:dyDescent="0.25">
      <c r="I801" s="8"/>
      <c r="K801" s="8"/>
      <c r="L801" s="8"/>
      <c r="M801" s="8"/>
      <c r="N801" s="8"/>
      <c r="O801" s="8"/>
      <c r="P801" s="8"/>
      <c r="Q801" s="8"/>
    </row>
    <row r="802" spans="9:17" s="1" customFormat="1" x14ac:dyDescent="0.25">
      <c r="I802" s="8"/>
      <c r="K802" s="8"/>
      <c r="L802" s="8"/>
      <c r="M802" s="8"/>
      <c r="N802" s="8"/>
      <c r="O802" s="8"/>
      <c r="P802" s="8"/>
      <c r="Q802" s="8"/>
    </row>
    <row r="803" spans="9:17" s="1" customFormat="1" x14ac:dyDescent="0.25">
      <c r="I803" s="8"/>
      <c r="K803" s="8"/>
      <c r="L803" s="8"/>
      <c r="M803" s="8"/>
      <c r="N803" s="8"/>
      <c r="O803" s="8"/>
      <c r="P803" s="8"/>
      <c r="Q803" s="8"/>
    </row>
    <row r="804" spans="9:17" s="1" customFormat="1" x14ac:dyDescent="0.25">
      <c r="I804" s="8"/>
      <c r="K804" s="8"/>
      <c r="L804" s="8"/>
      <c r="M804" s="8"/>
      <c r="N804" s="8"/>
      <c r="O804" s="8"/>
      <c r="P804" s="8"/>
      <c r="Q804" s="8"/>
    </row>
    <row r="805" spans="9:17" s="1" customFormat="1" x14ac:dyDescent="0.25">
      <c r="I805" s="8"/>
      <c r="K805" s="8"/>
      <c r="L805" s="8"/>
      <c r="M805" s="8"/>
      <c r="N805" s="8"/>
      <c r="O805" s="8"/>
      <c r="P805" s="8"/>
      <c r="Q805" s="8"/>
    </row>
    <row r="806" spans="9:17" s="1" customFormat="1" x14ac:dyDescent="0.25">
      <c r="I806" s="8"/>
      <c r="K806" s="8"/>
      <c r="L806" s="8"/>
      <c r="M806" s="8"/>
      <c r="N806" s="8"/>
      <c r="O806" s="8"/>
      <c r="P806" s="8"/>
      <c r="Q806" s="8"/>
    </row>
    <row r="807" spans="9:17" s="1" customFormat="1" x14ac:dyDescent="0.25">
      <c r="I807" s="8"/>
      <c r="K807" s="8"/>
      <c r="L807" s="8"/>
      <c r="M807" s="8"/>
      <c r="N807" s="8"/>
      <c r="O807" s="8"/>
      <c r="P807" s="8"/>
      <c r="Q807" s="8"/>
    </row>
    <row r="808" spans="9:17" s="1" customFormat="1" x14ac:dyDescent="0.25">
      <c r="I808" s="8"/>
      <c r="K808" s="8"/>
      <c r="L808" s="8"/>
      <c r="M808" s="8"/>
      <c r="N808" s="8"/>
      <c r="O808" s="8"/>
      <c r="P808" s="8"/>
      <c r="Q808" s="8"/>
    </row>
    <row r="809" spans="9:17" s="1" customFormat="1" x14ac:dyDescent="0.25">
      <c r="I809" s="8"/>
      <c r="K809" s="8"/>
      <c r="L809" s="8"/>
      <c r="M809" s="8"/>
      <c r="N809" s="8"/>
      <c r="O809" s="8"/>
      <c r="P809" s="8"/>
      <c r="Q809" s="8"/>
    </row>
    <row r="810" spans="9:17" s="1" customFormat="1" x14ac:dyDescent="0.25">
      <c r="I810" s="8"/>
      <c r="K810" s="8"/>
      <c r="L810" s="8"/>
      <c r="M810" s="8"/>
      <c r="N810" s="8"/>
      <c r="O810" s="8"/>
      <c r="P810" s="8"/>
      <c r="Q810" s="8"/>
    </row>
    <row r="811" spans="9:17" s="1" customFormat="1" x14ac:dyDescent="0.25">
      <c r="I811" s="8"/>
      <c r="K811" s="8"/>
      <c r="L811" s="8"/>
      <c r="M811" s="8"/>
      <c r="N811" s="8"/>
      <c r="O811" s="8"/>
      <c r="P811" s="8"/>
      <c r="Q811" s="8"/>
    </row>
    <row r="812" spans="9:17" s="1" customFormat="1" x14ac:dyDescent="0.25">
      <c r="I812" s="8"/>
      <c r="K812" s="8"/>
      <c r="L812" s="8"/>
      <c r="M812" s="8"/>
      <c r="N812" s="8"/>
      <c r="O812" s="8"/>
      <c r="P812" s="8"/>
      <c r="Q812" s="8"/>
    </row>
    <row r="813" spans="9:17" s="1" customFormat="1" x14ac:dyDescent="0.25">
      <c r="I813" s="8"/>
      <c r="K813" s="8"/>
      <c r="L813" s="8"/>
      <c r="M813" s="8"/>
      <c r="N813" s="8"/>
      <c r="O813" s="8"/>
      <c r="P813" s="8"/>
      <c r="Q813" s="8"/>
    </row>
    <row r="814" spans="9:17" s="1" customFormat="1" x14ac:dyDescent="0.25">
      <c r="I814" s="8"/>
      <c r="K814" s="8"/>
      <c r="L814" s="8"/>
      <c r="M814" s="8"/>
      <c r="N814" s="8"/>
      <c r="O814" s="8"/>
      <c r="P814" s="8"/>
      <c r="Q814" s="8"/>
    </row>
    <row r="815" spans="9:17" s="1" customFormat="1" x14ac:dyDescent="0.25">
      <c r="I815" s="8"/>
      <c r="K815" s="8"/>
      <c r="L815" s="8"/>
      <c r="M815" s="8"/>
      <c r="N815" s="8"/>
      <c r="O815" s="8"/>
      <c r="P815" s="8"/>
      <c r="Q815" s="8"/>
    </row>
    <row r="816" spans="9:17" s="1" customFormat="1" x14ac:dyDescent="0.25">
      <c r="I816" s="8"/>
      <c r="K816" s="8"/>
      <c r="L816" s="8"/>
      <c r="M816" s="8"/>
      <c r="N816" s="8"/>
      <c r="O816" s="8"/>
      <c r="P816" s="8"/>
      <c r="Q816" s="8"/>
    </row>
    <row r="817" spans="9:17" s="1" customFormat="1" x14ac:dyDescent="0.25">
      <c r="I817" s="8"/>
      <c r="K817" s="8"/>
      <c r="L817" s="8"/>
      <c r="M817" s="8"/>
      <c r="N817" s="8"/>
      <c r="O817" s="8"/>
      <c r="P817" s="8"/>
      <c r="Q817" s="8"/>
    </row>
    <row r="818" spans="9:17" s="1" customFormat="1" x14ac:dyDescent="0.25">
      <c r="I818" s="8"/>
      <c r="K818" s="8"/>
      <c r="L818" s="8"/>
      <c r="M818" s="8"/>
      <c r="N818" s="8"/>
      <c r="O818" s="8"/>
      <c r="P818" s="8"/>
      <c r="Q818" s="8"/>
    </row>
    <row r="819" spans="9:17" s="1" customFormat="1" x14ac:dyDescent="0.25">
      <c r="I819" s="8"/>
      <c r="K819" s="8"/>
      <c r="L819" s="8"/>
      <c r="M819" s="8"/>
      <c r="N819" s="8"/>
      <c r="O819" s="8"/>
      <c r="P819" s="8"/>
      <c r="Q819" s="8"/>
    </row>
    <row r="820" spans="9:17" s="1" customFormat="1" x14ac:dyDescent="0.25">
      <c r="I820" s="8"/>
      <c r="K820" s="8"/>
      <c r="L820" s="8"/>
      <c r="M820" s="8"/>
      <c r="N820" s="8"/>
      <c r="O820" s="8"/>
      <c r="P820" s="8"/>
      <c r="Q820" s="8"/>
    </row>
    <row r="821" spans="9:17" s="1" customFormat="1" x14ac:dyDescent="0.25">
      <c r="I821" s="8"/>
      <c r="K821" s="8"/>
      <c r="L821" s="8"/>
      <c r="M821" s="8"/>
      <c r="N821" s="8"/>
      <c r="O821" s="8"/>
      <c r="P821" s="8"/>
      <c r="Q821" s="8"/>
    </row>
    <row r="822" spans="9:17" s="1" customFormat="1" x14ac:dyDescent="0.25">
      <c r="I822" s="8"/>
      <c r="K822" s="8"/>
      <c r="L822" s="8"/>
      <c r="M822" s="8"/>
      <c r="N822" s="8"/>
      <c r="O822" s="8"/>
      <c r="P822" s="8"/>
      <c r="Q822" s="8"/>
    </row>
    <row r="823" spans="9:17" s="1" customFormat="1" x14ac:dyDescent="0.25">
      <c r="I823" s="8"/>
      <c r="K823" s="8"/>
      <c r="L823" s="8"/>
      <c r="M823" s="8"/>
      <c r="N823" s="8"/>
      <c r="O823" s="8"/>
      <c r="P823" s="8"/>
      <c r="Q823" s="8"/>
    </row>
    <row r="824" spans="9:17" s="1" customFormat="1" x14ac:dyDescent="0.25">
      <c r="I824" s="8"/>
      <c r="K824" s="8"/>
      <c r="L824" s="8"/>
      <c r="M824" s="8"/>
      <c r="N824" s="8"/>
      <c r="O824" s="8"/>
      <c r="P824" s="8"/>
      <c r="Q824" s="8"/>
    </row>
    <row r="825" spans="9:17" s="1" customFormat="1" x14ac:dyDescent="0.25">
      <c r="I825" s="8"/>
      <c r="K825" s="8"/>
      <c r="L825" s="8"/>
      <c r="M825" s="8"/>
      <c r="N825" s="8"/>
      <c r="O825" s="8"/>
      <c r="P825" s="8"/>
      <c r="Q825" s="8"/>
    </row>
    <row r="826" spans="9:17" s="1" customFormat="1" x14ac:dyDescent="0.25">
      <c r="I826" s="8"/>
      <c r="K826" s="8"/>
      <c r="L826" s="8"/>
      <c r="M826" s="8"/>
      <c r="N826" s="8"/>
      <c r="O826" s="8"/>
      <c r="P826" s="8"/>
      <c r="Q826" s="8"/>
    </row>
    <row r="827" spans="9:17" s="1" customFormat="1" x14ac:dyDescent="0.25">
      <c r="I827" s="8"/>
      <c r="K827" s="8"/>
      <c r="L827" s="8"/>
      <c r="M827" s="8"/>
      <c r="N827" s="8"/>
      <c r="O827" s="8"/>
      <c r="P827" s="8"/>
      <c r="Q827" s="8"/>
    </row>
    <row r="828" spans="9:17" s="1" customFormat="1" x14ac:dyDescent="0.25">
      <c r="I828" s="8"/>
      <c r="K828" s="8"/>
      <c r="L828" s="8"/>
      <c r="M828" s="8"/>
      <c r="N828" s="8"/>
      <c r="O828" s="8"/>
      <c r="P828" s="8"/>
      <c r="Q828" s="8"/>
    </row>
    <row r="829" spans="9:17" s="1" customFormat="1" x14ac:dyDescent="0.25">
      <c r="I829" s="8"/>
      <c r="K829" s="8"/>
      <c r="L829" s="8"/>
      <c r="M829" s="8"/>
      <c r="N829" s="8"/>
      <c r="O829" s="8"/>
      <c r="P829" s="8"/>
      <c r="Q829" s="8"/>
    </row>
    <row r="830" spans="9:17" s="1" customFormat="1" x14ac:dyDescent="0.25">
      <c r="I830" s="8"/>
      <c r="K830" s="8"/>
      <c r="L830" s="8"/>
      <c r="M830" s="8"/>
      <c r="N830" s="8"/>
      <c r="O830" s="8"/>
      <c r="P830" s="8"/>
      <c r="Q830" s="8"/>
    </row>
    <row r="831" spans="9:17" s="1" customFormat="1" x14ac:dyDescent="0.25">
      <c r="I831" s="8"/>
      <c r="K831" s="8"/>
      <c r="L831" s="8"/>
      <c r="M831" s="8"/>
      <c r="N831" s="8"/>
      <c r="O831" s="8"/>
      <c r="P831" s="8"/>
      <c r="Q831" s="8"/>
    </row>
    <row r="832" spans="9:17" s="1" customFormat="1" x14ac:dyDescent="0.25">
      <c r="I832" s="8"/>
      <c r="K832" s="8"/>
      <c r="L832" s="8"/>
      <c r="M832" s="8"/>
      <c r="N832" s="8"/>
      <c r="O832" s="8"/>
      <c r="P832" s="8"/>
      <c r="Q832" s="8"/>
    </row>
    <row r="833" spans="9:17" s="1" customFormat="1" x14ac:dyDescent="0.25">
      <c r="I833" s="8"/>
      <c r="K833" s="8"/>
      <c r="L833" s="8"/>
      <c r="M833" s="8"/>
      <c r="N833" s="8"/>
      <c r="O833" s="8"/>
      <c r="P833" s="8"/>
      <c r="Q833" s="8"/>
    </row>
    <row r="834" spans="9:17" s="1" customFormat="1" x14ac:dyDescent="0.25">
      <c r="I834" s="8"/>
      <c r="K834" s="8"/>
      <c r="L834" s="8"/>
      <c r="M834" s="8"/>
      <c r="N834" s="8"/>
      <c r="O834" s="8"/>
      <c r="P834" s="8"/>
      <c r="Q834" s="8"/>
    </row>
    <row r="835" spans="9:17" s="1" customFormat="1" x14ac:dyDescent="0.25">
      <c r="I835" s="8"/>
      <c r="K835" s="8"/>
      <c r="L835" s="8"/>
      <c r="M835" s="8"/>
      <c r="N835" s="8"/>
      <c r="O835" s="8"/>
      <c r="P835" s="8"/>
      <c r="Q835" s="8"/>
    </row>
    <row r="836" spans="9:17" s="1" customFormat="1" x14ac:dyDescent="0.25">
      <c r="I836" s="8"/>
      <c r="K836" s="8"/>
      <c r="L836" s="8"/>
      <c r="M836" s="8"/>
      <c r="N836" s="8"/>
      <c r="O836" s="8"/>
      <c r="P836" s="8"/>
      <c r="Q836" s="8"/>
    </row>
    <row r="837" spans="9:17" s="1" customFormat="1" x14ac:dyDescent="0.25">
      <c r="I837" s="8"/>
      <c r="K837" s="8"/>
      <c r="L837" s="8"/>
      <c r="M837" s="8"/>
      <c r="N837" s="8"/>
      <c r="O837" s="8"/>
      <c r="P837" s="8"/>
      <c r="Q837" s="8"/>
    </row>
    <row r="838" spans="9:17" s="1" customFormat="1" x14ac:dyDescent="0.25">
      <c r="I838" s="8"/>
      <c r="K838" s="8"/>
      <c r="L838" s="8"/>
      <c r="M838" s="8"/>
      <c r="N838" s="8"/>
      <c r="O838" s="8"/>
      <c r="P838" s="8"/>
      <c r="Q838" s="8"/>
    </row>
    <row r="839" spans="9:17" s="1" customFormat="1" x14ac:dyDescent="0.25">
      <c r="I839" s="8"/>
      <c r="K839" s="8"/>
      <c r="L839" s="8"/>
      <c r="M839" s="8"/>
      <c r="N839" s="8"/>
      <c r="O839" s="8"/>
      <c r="P839" s="8"/>
      <c r="Q839" s="8"/>
    </row>
    <row r="840" spans="9:17" s="1" customFormat="1" x14ac:dyDescent="0.25">
      <c r="I840" s="8"/>
      <c r="K840" s="8"/>
      <c r="L840" s="8"/>
      <c r="M840" s="8"/>
      <c r="N840" s="8"/>
      <c r="O840" s="8"/>
      <c r="P840" s="8"/>
      <c r="Q840" s="8"/>
    </row>
    <row r="841" spans="9:17" s="1" customFormat="1" x14ac:dyDescent="0.25">
      <c r="I841" s="8"/>
      <c r="K841" s="8"/>
      <c r="L841" s="8"/>
      <c r="M841" s="8"/>
      <c r="N841" s="8"/>
      <c r="O841" s="8"/>
      <c r="P841" s="8"/>
      <c r="Q841" s="8"/>
    </row>
    <row r="842" spans="9:17" s="1" customFormat="1" x14ac:dyDescent="0.25">
      <c r="I842" s="8"/>
      <c r="K842" s="8"/>
      <c r="L842" s="8"/>
      <c r="M842" s="8"/>
      <c r="N842" s="8"/>
      <c r="O842" s="8"/>
      <c r="P842" s="8"/>
      <c r="Q842" s="8"/>
    </row>
    <row r="843" spans="9:17" s="1" customFormat="1" x14ac:dyDescent="0.25">
      <c r="I843" s="8"/>
      <c r="K843" s="8"/>
      <c r="L843" s="8"/>
      <c r="M843" s="8"/>
      <c r="N843" s="8"/>
      <c r="O843" s="8"/>
      <c r="P843" s="8"/>
      <c r="Q843" s="8"/>
    </row>
    <row r="844" spans="9:17" s="1" customFormat="1" x14ac:dyDescent="0.25">
      <c r="I844" s="8"/>
      <c r="K844" s="8"/>
      <c r="L844" s="8"/>
      <c r="M844" s="8"/>
      <c r="N844" s="8"/>
      <c r="O844" s="8"/>
      <c r="P844" s="8"/>
      <c r="Q844" s="8"/>
    </row>
    <row r="845" spans="9:17" s="1" customFormat="1" x14ac:dyDescent="0.25">
      <c r="I845" s="8"/>
      <c r="K845" s="8"/>
      <c r="L845" s="8"/>
      <c r="M845" s="8"/>
      <c r="N845" s="8"/>
      <c r="O845" s="8"/>
      <c r="P845" s="8"/>
      <c r="Q845" s="8"/>
    </row>
    <row r="846" spans="9:17" s="1" customFormat="1" x14ac:dyDescent="0.25">
      <c r="I846" s="8"/>
      <c r="K846" s="8"/>
      <c r="L846" s="8"/>
      <c r="M846" s="8"/>
      <c r="N846" s="8"/>
      <c r="O846" s="8"/>
      <c r="P846" s="8"/>
      <c r="Q846" s="8"/>
    </row>
    <row r="847" spans="9:17" s="1" customFormat="1" x14ac:dyDescent="0.25">
      <c r="I847" s="8"/>
      <c r="K847" s="8"/>
      <c r="L847" s="8"/>
      <c r="M847" s="8"/>
      <c r="N847" s="8"/>
      <c r="O847" s="8"/>
      <c r="P847" s="8"/>
      <c r="Q847" s="8"/>
    </row>
    <row r="848" spans="9:17" s="1" customFormat="1" x14ac:dyDescent="0.25">
      <c r="I848" s="8"/>
      <c r="K848" s="8"/>
      <c r="L848" s="8"/>
      <c r="M848" s="8"/>
      <c r="N848" s="8"/>
      <c r="O848" s="8"/>
      <c r="P848" s="8"/>
      <c r="Q848" s="8"/>
    </row>
    <row r="849" spans="9:17" s="1" customFormat="1" x14ac:dyDescent="0.25">
      <c r="I849" s="8"/>
      <c r="K849" s="8"/>
      <c r="L849" s="8"/>
      <c r="M849" s="8"/>
      <c r="N849" s="8"/>
      <c r="O849" s="8"/>
      <c r="P849" s="8"/>
      <c r="Q849" s="8"/>
    </row>
    <row r="850" spans="9:17" s="1" customFormat="1" x14ac:dyDescent="0.25">
      <c r="I850" s="8"/>
      <c r="K850" s="8"/>
      <c r="L850" s="8"/>
      <c r="M850" s="8"/>
      <c r="N850" s="8"/>
      <c r="O850" s="8"/>
      <c r="P850" s="8"/>
      <c r="Q850" s="8"/>
    </row>
    <row r="851" spans="9:17" s="1" customFormat="1" x14ac:dyDescent="0.25">
      <c r="I851" s="8"/>
      <c r="K851" s="8"/>
      <c r="L851" s="8"/>
      <c r="M851" s="8"/>
      <c r="N851" s="8"/>
      <c r="O851" s="8"/>
      <c r="P851" s="8"/>
      <c r="Q851" s="8"/>
    </row>
    <row r="852" spans="9:17" s="1" customFormat="1" x14ac:dyDescent="0.25">
      <c r="I852" s="8"/>
      <c r="K852" s="8"/>
      <c r="L852" s="8"/>
      <c r="M852" s="8"/>
      <c r="N852" s="8"/>
      <c r="O852" s="8"/>
      <c r="P852" s="8"/>
      <c r="Q852" s="8"/>
    </row>
    <row r="853" spans="9:17" s="1" customFormat="1" x14ac:dyDescent="0.25">
      <c r="I853" s="8"/>
      <c r="K853" s="8"/>
      <c r="L853" s="8"/>
      <c r="M853" s="8"/>
      <c r="N853" s="8"/>
      <c r="O853" s="8"/>
      <c r="P853" s="8"/>
      <c r="Q853" s="8"/>
    </row>
    <row r="854" spans="9:17" s="1" customFormat="1" x14ac:dyDescent="0.25">
      <c r="I854" s="8"/>
      <c r="K854" s="8"/>
      <c r="L854" s="8"/>
      <c r="M854" s="8"/>
      <c r="N854" s="8"/>
      <c r="O854" s="8"/>
      <c r="P854" s="8"/>
      <c r="Q854" s="8"/>
    </row>
    <row r="855" spans="9:17" s="1" customFormat="1" x14ac:dyDescent="0.25">
      <c r="I855" s="8"/>
      <c r="K855" s="8"/>
      <c r="L855" s="8"/>
      <c r="M855" s="8"/>
      <c r="N855" s="8"/>
      <c r="O855" s="8"/>
      <c r="P855" s="8"/>
      <c r="Q855" s="8"/>
    </row>
    <row r="856" spans="9:17" s="1" customFormat="1" x14ac:dyDescent="0.25">
      <c r="I856" s="8"/>
      <c r="K856" s="8"/>
      <c r="L856" s="8"/>
      <c r="M856" s="8"/>
      <c r="N856" s="8"/>
      <c r="O856" s="8"/>
      <c r="P856" s="8"/>
      <c r="Q856" s="8"/>
    </row>
    <row r="857" spans="9:17" s="1" customFormat="1" x14ac:dyDescent="0.25">
      <c r="I857" s="8"/>
      <c r="K857" s="8"/>
      <c r="L857" s="8"/>
      <c r="M857" s="8"/>
      <c r="N857" s="8"/>
      <c r="O857" s="8"/>
      <c r="P857" s="8"/>
      <c r="Q857" s="8"/>
    </row>
    <row r="858" spans="9:17" s="1" customFormat="1" x14ac:dyDescent="0.25">
      <c r="I858" s="8"/>
      <c r="K858" s="8"/>
      <c r="L858" s="8"/>
      <c r="M858" s="8"/>
      <c r="N858" s="8"/>
      <c r="O858" s="8"/>
      <c r="P858" s="8"/>
      <c r="Q858" s="8"/>
    </row>
    <row r="859" spans="9:17" s="1" customFormat="1" x14ac:dyDescent="0.25">
      <c r="I859" s="8"/>
      <c r="K859" s="8"/>
      <c r="L859" s="8"/>
      <c r="M859" s="8"/>
      <c r="N859" s="8"/>
      <c r="O859" s="8"/>
      <c r="P859" s="8"/>
      <c r="Q859" s="8"/>
    </row>
    <row r="860" spans="9:17" s="1" customFormat="1" x14ac:dyDescent="0.25">
      <c r="I860" s="8"/>
      <c r="K860" s="8"/>
      <c r="L860" s="8"/>
      <c r="M860" s="8"/>
      <c r="N860" s="8"/>
      <c r="O860" s="8"/>
      <c r="P860" s="8"/>
      <c r="Q860" s="8"/>
    </row>
    <row r="861" spans="9:17" s="1" customFormat="1" x14ac:dyDescent="0.25">
      <c r="I861" s="8"/>
      <c r="K861" s="8"/>
      <c r="L861" s="8"/>
      <c r="M861" s="8"/>
      <c r="N861" s="8"/>
      <c r="O861" s="8"/>
      <c r="P861" s="8"/>
      <c r="Q861" s="8"/>
    </row>
    <row r="862" spans="9:17" s="1" customFormat="1" x14ac:dyDescent="0.25">
      <c r="I862" s="8"/>
      <c r="K862" s="8"/>
      <c r="L862" s="8"/>
      <c r="M862" s="8"/>
      <c r="N862" s="8"/>
      <c r="O862" s="8"/>
      <c r="P862" s="8"/>
      <c r="Q862" s="8"/>
    </row>
    <row r="863" spans="9:17" s="1" customFormat="1" x14ac:dyDescent="0.25">
      <c r="I863" s="8"/>
      <c r="K863" s="8"/>
      <c r="L863" s="8"/>
      <c r="M863" s="8"/>
      <c r="N863" s="8"/>
      <c r="O863" s="8"/>
      <c r="P863" s="8"/>
      <c r="Q863" s="8"/>
    </row>
    <row r="864" spans="9:17" s="1" customFormat="1" x14ac:dyDescent="0.25">
      <c r="I864" s="8"/>
      <c r="K864" s="8"/>
      <c r="L864" s="8"/>
      <c r="M864" s="8"/>
      <c r="N864" s="8"/>
      <c r="O864" s="8"/>
      <c r="P864" s="8"/>
      <c r="Q864" s="8"/>
    </row>
    <row r="865" spans="9:17" s="1" customFormat="1" x14ac:dyDescent="0.25">
      <c r="I865" s="8"/>
      <c r="K865" s="8"/>
      <c r="L865" s="8"/>
      <c r="M865" s="8"/>
      <c r="N865" s="8"/>
      <c r="O865" s="8"/>
      <c r="P865" s="8"/>
      <c r="Q865" s="8"/>
    </row>
    <row r="866" spans="9:17" s="1" customFormat="1" x14ac:dyDescent="0.25">
      <c r="I866" s="8"/>
      <c r="K866" s="8"/>
      <c r="L866" s="8"/>
      <c r="M866" s="8"/>
      <c r="N866" s="8"/>
      <c r="O866" s="8"/>
      <c r="P866" s="8"/>
      <c r="Q866" s="8"/>
    </row>
    <row r="867" spans="9:17" s="1" customFormat="1" x14ac:dyDescent="0.25">
      <c r="I867" s="8"/>
      <c r="K867" s="8"/>
      <c r="L867" s="8"/>
      <c r="M867" s="8"/>
      <c r="N867" s="8"/>
      <c r="O867" s="8"/>
      <c r="P867" s="8"/>
      <c r="Q867" s="8"/>
    </row>
    <row r="868" spans="9:17" s="1" customFormat="1" x14ac:dyDescent="0.25">
      <c r="I868" s="8"/>
      <c r="K868" s="8"/>
      <c r="L868" s="8"/>
      <c r="M868" s="8"/>
      <c r="N868" s="8"/>
      <c r="O868" s="8"/>
      <c r="P868" s="8"/>
      <c r="Q868" s="8"/>
    </row>
    <row r="869" spans="9:17" s="1" customFormat="1" x14ac:dyDescent="0.25">
      <c r="I869" s="8"/>
      <c r="K869" s="8"/>
      <c r="L869" s="8"/>
      <c r="M869" s="8"/>
      <c r="N869" s="8"/>
      <c r="O869" s="8"/>
      <c r="P869" s="8"/>
      <c r="Q869" s="8"/>
    </row>
    <row r="870" spans="9:17" s="1" customFormat="1" x14ac:dyDescent="0.25">
      <c r="I870" s="8"/>
      <c r="K870" s="8"/>
      <c r="L870" s="8"/>
      <c r="M870" s="8"/>
      <c r="N870" s="8"/>
      <c r="O870" s="8"/>
      <c r="P870" s="8"/>
      <c r="Q870" s="8"/>
    </row>
    <row r="871" spans="9:17" s="1" customFormat="1" x14ac:dyDescent="0.25">
      <c r="I871" s="8"/>
      <c r="K871" s="8"/>
      <c r="L871" s="8"/>
      <c r="M871" s="8"/>
      <c r="N871" s="8"/>
      <c r="O871" s="8"/>
      <c r="P871" s="8"/>
      <c r="Q871" s="8"/>
    </row>
    <row r="872" spans="9:17" s="1" customFormat="1" x14ac:dyDescent="0.25">
      <c r="I872" s="8"/>
      <c r="K872" s="8"/>
      <c r="L872" s="8"/>
      <c r="M872" s="8"/>
      <c r="N872" s="8"/>
      <c r="O872" s="8"/>
      <c r="P872" s="8"/>
      <c r="Q872" s="8"/>
    </row>
    <row r="873" spans="9:17" s="1" customFormat="1" x14ac:dyDescent="0.25">
      <c r="I873" s="8"/>
      <c r="K873" s="8"/>
      <c r="L873" s="8"/>
      <c r="M873" s="8"/>
      <c r="N873" s="8"/>
      <c r="O873" s="8"/>
      <c r="P873" s="8"/>
      <c r="Q873" s="8"/>
    </row>
    <row r="874" spans="9:17" s="1" customFormat="1" x14ac:dyDescent="0.25">
      <c r="I874" s="8"/>
      <c r="K874" s="8"/>
      <c r="L874" s="8"/>
      <c r="M874" s="8"/>
      <c r="N874" s="8"/>
      <c r="O874" s="8"/>
      <c r="P874" s="8"/>
      <c r="Q874" s="8"/>
    </row>
    <row r="875" spans="9:17" s="1" customFormat="1" x14ac:dyDescent="0.25">
      <c r="I875" s="8"/>
      <c r="K875" s="8"/>
      <c r="L875" s="8"/>
      <c r="M875" s="8"/>
      <c r="N875" s="8"/>
      <c r="O875" s="8"/>
      <c r="P875" s="8"/>
      <c r="Q875" s="8"/>
    </row>
    <row r="876" spans="9:17" s="1" customFormat="1" x14ac:dyDescent="0.25">
      <c r="I876" s="8"/>
      <c r="K876" s="8"/>
      <c r="L876" s="8"/>
      <c r="M876" s="8"/>
      <c r="N876" s="8"/>
      <c r="O876" s="8"/>
      <c r="P876" s="8"/>
      <c r="Q876" s="8"/>
    </row>
    <row r="877" spans="9:17" s="1" customFormat="1" x14ac:dyDescent="0.25">
      <c r="I877" s="8"/>
      <c r="K877" s="8"/>
      <c r="L877" s="8"/>
      <c r="M877" s="8"/>
      <c r="N877" s="8"/>
      <c r="O877" s="8"/>
      <c r="P877" s="8"/>
      <c r="Q877" s="8"/>
    </row>
    <row r="878" spans="9:17" s="1" customFormat="1" x14ac:dyDescent="0.25">
      <c r="I878" s="8"/>
      <c r="K878" s="8"/>
      <c r="L878" s="8"/>
      <c r="M878" s="8"/>
      <c r="N878" s="8"/>
      <c r="O878" s="8"/>
      <c r="P878" s="8"/>
      <c r="Q878" s="8"/>
    </row>
    <row r="879" spans="9:17" s="1" customFormat="1" x14ac:dyDescent="0.25">
      <c r="I879" s="8"/>
      <c r="K879" s="8"/>
      <c r="L879" s="8"/>
      <c r="M879" s="8"/>
      <c r="N879" s="8"/>
      <c r="O879" s="8"/>
      <c r="P879" s="8"/>
      <c r="Q879" s="8"/>
    </row>
    <row r="880" spans="9:17" s="1" customFormat="1" x14ac:dyDescent="0.25">
      <c r="I880" s="8"/>
      <c r="K880" s="8"/>
      <c r="L880" s="8"/>
      <c r="M880" s="8"/>
      <c r="N880" s="8"/>
      <c r="O880" s="8"/>
      <c r="P880" s="8"/>
      <c r="Q880" s="8"/>
    </row>
    <row r="881" spans="9:17" s="1" customFormat="1" x14ac:dyDescent="0.25">
      <c r="I881" s="8"/>
      <c r="K881" s="8"/>
      <c r="L881" s="8"/>
      <c r="M881" s="8"/>
      <c r="N881" s="8"/>
      <c r="O881" s="8"/>
      <c r="P881" s="8"/>
      <c r="Q881" s="8"/>
    </row>
    <row r="882" spans="9:17" s="1" customFormat="1" x14ac:dyDescent="0.25">
      <c r="I882" s="8"/>
      <c r="K882" s="8"/>
      <c r="L882" s="8"/>
      <c r="M882" s="8"/>
      <c r="N882" s="8"/>
      <c r="O882" s="8"/>
      <c r="P882" s="8"/>
      <c r="Q882" s="8"/>
    </row>
    <row r="883" spans="9:17" s="1" customFormat="1" x14ac:dyDescent="0.25">
      <c r="I883" s="8"/>
      <c r="K883" s="8"/>
      <c r="L883" s="8"/>
      <c r="M883" s="8"/>
      <c r="N883" s="8"/>
      <c r="O883" s="8"/>
      <c r="P883" s="8"/>
      <c r="Q883" s="8"/>
    </row>
    <row r="884" spans="9:17" s="1" customFormat="1" x14ac:dyDescent="0.25">
      <c r="I884" s="8"/>
      <c r="K884" s="8"/>
      <c r="L884" s="8"/>
      <c r="M884" s="8"/>
      <c r="N884" s="8"/>
      <c r="O884" s="8"/>
      <c r="P884" s="8"/>
      <c r="Q884" s="8"/>
    </row>
    <row r="885" spans="9:17" s="1" customFormat="1" x14ac:dyDescent="0.25">
      <c r="I885" s="8"/>
      <c r="K885" s="8"/>
      <c r="L885" s="8"/>
      <c r="M885" s="8"/>
      <c r="N885" s="8"/>
      <c r="O885" s="8"/>
      <c r="P885" s="8"/>
      <c r="Q885" s="8"/>
    </row>
    <row r="886" spans="9:17" s="1" customFormat="1" x14ac:dyDescent="0.25">
      <c r="I886" s="8"/>
      <c r="K886" s="8"/>
      <c r="L886" s="8"/>
      <c r="M886" s="8"/>
      <c r="N886" s="8"/>
      <c r="O886" s="8"/>
      <c r="P886" s="8"/>
      <c r="Q886" s="8"/>
    </row>
    <row r="887" spans="9:17" s="1" customFormat="1" x14ac:dyDescent="0.25">
      <c r="I887" s="8"/>
      <c r="K887" s="8"/>
      <c r="L887" s="8"/>
      <c r="M887" s="8"/>
      <c r="N887" s="8"/>
      <c r="O887" s="8"/>
      <c r="P887" s="8"/>
      <c r="Q887" s="8"/>
    </row>
    <row r="888" spans="9:17" s="1" customFormat="1" x14ac:dyDescent="0.25">
      <c r="I888" s="8"/>
      <c r="K888" s="8"/>
      <c r="L888" s="8"/>
      <c r="M888" s="8"/>
      <c r="N888" s="8"/>
      <c r="O888" s="8"/>
      <c r="P888" s="8"/>
      <c r="Q888" s="8"/>
    </row>
    <row r="889" spans="9:17" s="1" customFormat="1" x14ac:dyDescent="0.25">
      <c r="I889" s="8"/>
      <c r="K889" s="8"/>
      <c r="L889" s="8"/>
      <c r="M889" s="8"/>
      <c r="N889" s="8"/>
      <c r="O889" s="8"/>
      <c r="P889" s="8"/>
      <c r="Q889" s="8"/>
    </row>
    <row r="890" spans="9:17" s="1" customFormat="1" x14ac:dyDescent="0.25">
      <c r="I890" s="8"/>
      <c r="K890" s="8"/>
      <c r="L890" s="8"/>
      <c r="M890" s="8"/>
      <c r="N890" s="8"/>
      <c r="O890" s="8"/>
      <c r="P890" s="8"/>
      <c r="Q890" s="8"/>
    </row>
    <row r="891" spans="9:17" s="1" customFormat="1" x14ac:dyDescent="0.25">
      <c r="I891" s="8"/>
      <c r="K891" s="8"/>
      <c r="L891" s="8"/>
      <c r="M891" s="8"/>
      <c r="N891" s="8"/>
      <c r="O891" s="8"/>
      <c r="P891" s="8"/>
      <c r="Q891" s="8"/>
    </row>
    <row r="892" spans="9:17" s="1" customFormat="1" x14ac:dyDescent="0.25">
      <c r="I892" s="8"/>
      <c r="K892" s="8"/>
      <c r="L892" s="8"/>
      <c r="M892" s="8"/>
      <c r="N892" s="8"/>
      <c r="O892" s="8"/>
      <c r="P892" s="8"/>
      <c r="Q892" s="8"/>
    </row>
    <row r="893" spans="9:17" s="1" customFormat="1" x14ac:dyDescent="0.25">
      <c r="I893" s="8"/>
      <c r="K893" s="8"/>
      <c r="L893" s="8"/>
      <c r="M893" s="8"/>
      <c r="N893" s="8"/>
      <c r="O893" s="8"/>
      <c r="P893" s="8"/>
      <c r="Q893" s="8"/>
    </row>
    <row r="894" spans="9:17" s="1" customFormat="1" x14ac:dyDescent="0.25">
      <c r="I894" s="8"/>
      <c r="K894" s="8"/>
      <c r="L894" s="8"/>
      <c r="M894" s="8"/>
      <c r="N894" s="8"/>
      <c r="O894" s="8"/>
      <c r="P894" s="8"/>
      <c r="Q894" s="8"/>
    </row>
    <row r="895" spans="9:17" s="1" customFormat="1" x14ac:dyDescent="0.25">
      <c r="I895" s="8"/>
      <c r="K895" s="8"/>
      <c r="L895" s="8"/>
      <c r="M895" s="8"/>
      <c r="N895" s="8"/>
      <c r="O895" s="8"/>
      <c r="P895" s="8"/>
      <c r="Q895" s="8"/>
    </row>
    <row r="896" spans="9:17" s="1" customFormat="1" x14ac:dyDescent="0.25">
      <c r="I896" s="8"/>
      <c r="K896" s="8"/>
      <c r="L896" s="8"/>
      <c r="M896" s="8"/>
      <c r="N896" s="8"/>
      <c r="O896" s="8"/>
      <c r="P896" s="8"/>
      <c r="Q896" s="8"/>
    </row>
    <row r="897" spans="9:17" s="1" customFormat="1" x14ac:dyDescent="0.25">
      <c r="I897" s="8"/>
      <c r="K897" s="8"/>
      <c r="L897" s="8"/>
      <c r="M897" s="8"/>
      <c r="N897" s="8"/>
      <c r="O897" s="8"/>
      <c r="P897" s="8"/>
      <c r="Q897" s="8"/>
    </row>
    <row r="898" spans="9:17" s="1" customFormat="1" x14ac:dyDescent="0.25">
      <c r="I898" s="8"/>
      <c r="K898" s="8"/>
      <c r="L898" s="8"/>
      <c r="M898" s="8"/>
      <c r="N898" s="8"/>
      <c r="O898" s="8"/>
      <c r="P898" s="8"/>
      <c r="Q898" s="8"/>
    </row>
    <row r="899" spans="9:17" s="1" customFormat="1" x14ac:dyDescent="0.25">
      <c r="I899" s="8"/>
      <c r="K899" s="8"/>
      <c r="L899" s="8"/>
      <c r="M899" s="8"/>
      <c r="N899" s="8"/>
      <c r="O899" s="8"/>
      <c r="P899" s="8"/>
      <c r="Q899" s="8"/>
    </row>
    <row r="900" spans="9:17" s="1" customFormat="1" x14ac:dyDescent="0.25">
      <c r="I900" s="8"/>
      <c r="K900" s="8"/>
      <c r="L900" s="8"/>
      <c r="M900" s="8"/>
      <c r="N900" s="8"/>
      <c r="O900" s="8"/>
      <c r="P900" s="8"/>
      <c r="Q900" s="8"/>
    </row>
    <row r="901" spans="9:17" s="1" customFormat="1" x14ac:dyDescent="0.25">
      <c r="I901" s="8"/>
      <c r="K901" s="8"/>
      <c r="L901" s="8"/>
      <c r="M901" s="8"/>
      <c r="N901" s="8"/>
      <c r="O901" s="8"/>
      <c r="P901" s="8"/>
      <c r="Q901" s="8"/>
    </row>
    <row r="902" spans="9:17" s="1" customFormat="1" x14ac:dyDescent="0.25">
      <c r="I902" s="8"/>
      <c r="K902" s="8"/>
      <c r="L902" s="8"/>
      <c r="M902" s="8"/>
      <c r="N902" s="8"/>
      <c r="O902" s="8"/>
      <c r="P902" s="8"/>
      <c r="Q902" s="8"/>
    </row>
    <row r="903" spans="9:17" s="1" customFormat="1" x14ac:dyDescent="0.25">
      <c r="I903" s="8"/>
      <c r="K903" s="8"/>
      <c r="L903" s="8"/>
      <c r="M903" s="8"/>
      <c r="N903" s="8"/>
      <c r="O903" s="8"/>
      <c r="P903" s="8"/>
      <c r="Q903" s="8"/>
    </row>
    <row r="904" spans="9:17" s="1" customFormat="1" x14ac:dyDescent="0.25">
      <c r="I904" s="8"/>
      <c r="K904" s="8"/>
      <c r="L904" s="8"/>
      <c r="M904" s="8"/>
      <c r="N904" s="8"/>
      <c r="O904" s="8"/>
      <c r="P904" s="8"/>
      <c r="Q904" s="8"/>
    </row>
    <row r="905" spans="9:17" s="1" customFormat="1" x14ac:dyDescent="0.25">
      <c r="I905" s="8"/>
      <c r="K905" s="8"/>
      <c r="L905" s="8"/>
      <c r="M905" s="8"/>
      <c r="N905" s="8"/>
      <c r="O905" s="8"/>
      <c r="P905" s="8"/>
      <c r="Q905" s="8"/>
    </row>
    <row r="906" spans="9:17" s="1" customFormat="1" x14ac:dyDescent="0.25">
      <c r="I906" s="8"/>
      <c r="K906" s="8"/>
      <c r="L906" s="8"/>
      <c r="M906" s="8"/>
      <c r="N906" s="8"/>
      <c r="O906" s="8"/>
      <c r="P906" s="8"/>
      <c r="Q906" s="8"/>
    </row>
    <row r="907" spans="9:17" s="1" customFormat="1" x14ac:dyDescent="0.25">
      <c r="I907" s="8"/>
      <c r="K907" s="8"/>
      <c r="L907" s="8"/>
      <c r="M907" s="8"/>
      <c r="N907" s="8"/>
      <c r="O907" s="8"/>
      <c r="P907" s="8"/>
      <c r="Q907" s="8"/>
    </row>
    <row r="908" spans="9:17" s="1" customFormat="1" x14ac:dyDescent="0.25">
      <c r="I908" s="8"/>
      <c r="K908" s="8"/>
      <c r="L908" s="8"/>
      <c r="M908" s="8"/>
      <c r="N908" s="8"/>
      <c r="O908" s="8"/>
      <c r="P908" s="8"/>
      <c r="Q908" s="8"/>
    </row>
    <row r="909" spans="9:17" s="1" customFormat="1" x14ac:dyDescent="0.25">
      <c r="I909" s="8"/>
      <c r="K909" s="8"/>
      <c r="L909" s="8"/>
      <c r="M909" s="8"/>
      <c r="N909" s="8"/>
      <c r="O909" s="8"/>
      <c r="P909" s="8"/>
      <c r="Q909" s="8"/>
    </row>
    <row r="910" spans="9:17" s="1" customFormat="1" x14ac:dyDescent="0.25">
      <c r="I910" s="8"/>
      <c r="K910" s="8"/>
      <c r="L910" s="8"/>
      <c r="M910" s="8"/>
      <c r="N910" s="8"/>
      <c r="O910" s="8"/>
      <c r="P910" s="8"/>
      <c r="Q910" s="8"/>
    </row>
    <row r="911" spans="9:17" s="1" customFormat="1" x14ac:dyDescent="0.25">
      <c r="I911" s="8"/>
      <c r="K911" s="8"/>
      <c r="L911" s="8"/>
      <c r="M911" s="8"/>
      <c r="N911" s="8"/>
      <c r="O911" s="8"/>
      <c r="P911" s="8"/>
      <c r="Q911" s="8"/>
    </row>
    <row r="912" spans="9:17" s="1" customFormat="1" x14ac:dyDescent="0.25">
      <c r="I912" s="8"/>
      <c r="K912" s="8"/>
      <c r="L912" s="8"/>
      <c r="M912" s="8"/>
      <c r="N912" s="8"/>
      <c r="O912" s="8"/>
      <c r="P912" s="8"/>
      <c r="Q912" s="8"/>
    </row>
    <row r="913" spans="9:17" s="1" customFormat="1" x14ac:dyDescent="0.25">
      <c r="I913" s="8"/>
      <c r="K913" s="8"/>
      <c r="L913" s="8"/>
      <c r="M913" s="8"/>
      <c r="N913" s="8"/>
      <c r="O913" s="8"/>
      <c r="P913" s="8"/>
      <c r="Q913" s="8"/>
    </row>
    <row r="914" spans="9:17" s="1" customFormat="1" x14ac:dyDescent="0.25">
      <c r="I914" s="8"/>
      <c r="K914" s="8"/>
      <c r="L914" s="8"/>
      <c r="M914" s="8"/>
      <c r="N914" s="8"/>
      <c r="O914" s="8"/>
      <c r="P914" s="8"/>
      <c r="Q914" s="8"/>
    </row>
    <row r="915" spans="9:17" s="1" customFormat="1" x14ac:dyDescent="0.25">
      <c r="I915" s="8"/>
      <c r="K915" s="8"/>
      <c r="L915" s="8"/>
      <c r="M915" s="8"/>
      <c r="N915" s="8"/>
      <c r="O915" s="8"/>
      <c r="P915" s="8"/>
      <c r="Q915" s="8"/>
    </row>
    <row r="916" spans="9:17" s="1" customFormat="1" x14ac:dyDescent="0.25">
      <c r="I916" s="8"/>
      <c r="K916" s="8"/>
      <c r="L916" s="8"/>
      <c r="M916" s="8"/>
      <c r="N916" s="8"/>
      <c r="O916" s="8"/>
      <c r="P916" s="8"/>
      <c r="Q916" s="8"/>
    </row>
    <row r="917" spans="9:17" s="1" customFormat="1" x14ac:dyDescent="0.25">
      <c r="I917" s="8"/>
      <c r="K917" s="8"/>
      <c r="L917" s="8"/>
      <c r="M917" s="8"/>
      <c r="N917" s="8"/>
      <c r="O917" s="8"/>
      <c r="P917" s="8"/>
      <c r="Q917" s="8"/>
    </row>
    <row r="918" spans="9:17" s="1" customFormat="1" x14ac:dyDescent="0.25">
      <c r="I918" s="8"/>
      <c r="K918" s="8"/>
      <c r="L918" s="8"/>
      <c r="M918" s="8"/>
      <c r="N918" s="8"/>
      <c r="O918" s="8"/>
      <c r="P918" s="8"/>
      <c r="Q918" s="8"/>
    </row>
    <row r="919" spans="9:17" s="1" customFormat="1" x14ac:dyDescent="0.25">
      <c r="I919" s="8"/>
      <c r="K919" s="8"/>
      <c r="L919" s="8"/>
      <c r="M919" s="8"/>
      <c r="N919" s="8"/>
      <c r="O919" s="8"/>
      <c r="P919" s="8"/>
      <c r="Q919" s="8"/>
    </row>
    <row r="920" spans="9:17" s="1" customFormat="1" x14ac:dyDescent="0.25">
      <c r="I920" s="8"/>
      <c r="K920" s="8"/>
      <c r="L920" s="8"/>
      <c r="M920" s="8"/>
      <c r="N920" s="8"/>
      <c r="O920" s="8"/>
      <c r="P920" s="8"/>
      <c r="Q920" s="8"/>
    </row>
    <row r="921" spans="9:17" s="1" customFormat="1" x14ac:dyDescent="0.25">
      <c r="I921" s="8"/>
      <c r="K921" s="8"/>
      <c r="L921" s="8"/>
      <c r="M921" s="8"/>
      <c r="N921" s="8"/>
      <c r="O921" s="8"/>
      <c r="P921" s="8"/>
      <c r="Q921" s="8"/>
    </row>
    <row r="922" spans="9:17" s="1" customFormat="1" x14ac:dyDescent="0.25">
      <c r="I922" s="8"/>
      <c r="K922" s="8"/>
      <c r="L922" s="8"/>
      <c r="M922" s="8"/>
      <c r="N922" s="8"/>
      <c r="O922" s="8"/>
      <c r="P922" s="8"/>
      <c r="Q922" s="8"/>
    </row>
    <row r="923" spans="9:17" s="1" customFormat="1" x14ac:dyDescent="0.25">
      <c r="I923" s="8"/>
      <c r="K923" s="8"/>
      <c r="L923" s="8"/>
      <c r="M923" s="8"/>
      <c r="N923" s="8"/>
      <c r="O923" s="8"/>
      <c r="P923" s="8"/>
      <c r="Q923" s="8"/>
    </row>
    <row r="924" spans="9:17" s="1" customFormat="1" x14ac:dyDescent="0.25">
      <c r="I924" s="8"/>
      <c r="K924" s="8"/>
      <c r="L924" s="8"/>
      <c r="M924" s="8"/>
      <c r="N924" s="8"/>
      <c r="O924" s="8"/>
      <c r="P924" s="8"/>
      <c r="Q924" s="8"/>
    </row>
    <row r="925" spans="9:17" s="1" customFormat="1" x14ac:dyDescent="0.25">
      <c r="I925" s="8"/>
      <c r="K925" s="8"/>
      <c r="L925" s="8"/>
      <c r="M925" s="8"/>
      <c r="N925" s="8"/>
      <c r="O925" s="8"/>
      <c r="P925" s="8"/>
      <c r="Q925" s="8"/>
    </row>
    <row r="926" spans="9:17" s="1" customFormat="1" x14ac:dyDescent="0.25">
      <c r="I926" s="8"/>
      <c r="K926" s="8"/>
      <c r="L926" s="8"/>
      <c r="M926" s="8"/>
      <c r="N926" s="8"/>
      <c r="O926" s="8"/>
      <c r="P926" s="8"/>
      <c r="Q926" s="8"/>
    </row>
    <row r="927" spans="9:17" s="1" customFormat="1" x14ac:dyDescent="0.25">
      <c r="I927" s="8"/>
      <c r="K927" s="8"/>
      <c r="L927" s="8"/>
      <c r="M927" s="8"/>
      <c r="N927" s="8"/>
      <c r="O927" s="8"/>
      <c r="P927" s="8"/>
      <c r="Q927" s="8"/>
    </row>
    <row r="928" spans="9:17" s="1" customFormat="1" x14ac:dyDescent="0.25">
      <c r="I928" s="8"/>
      <c r="K928" s="8"/>
      <c r="L928" s="8"/>
      <c r="M928" s="8"/>
      <c r="N928" s="8"/>
      <c r="O928" s="8"/>
      <c r="P928" s="8"/>
      <c r="Q928" s="8"/>
    </row>
    <row r="929" spans="9:17" s="1" customFormat="1" x14ac:dyDescent="0.25">
      <c r="I929" s="8"/>
      <c r="K929" s="8"/>
      <c r="L929" s="8"/>
      <c r="M929" s="8"/>
      <c r="N929" s="8"/>
      <c r="O929" s="8"/>
      <c r="P929" s="8"/>
      <c r="Q929" s="8"/>
    </row>
    <row r="930" spans="9:17" s="1" customFormat="1" x14ac:dyDescent="0.25">
      <c r="I930" s="8"/>
      <c r="K930" s="8"/>
      <c r="L930" s="8"/>
      <c r="M930" s="8"/>
      <c r="N930" s="8"/>
      <c r="O930" s="8"/>
      <c r="P930" s="8"/>
      <c r="Q930" s="8"/>
    </row>
    <row r="931" spans="9:17" s="1" customFormat="1" x14ac:dyDescent="0.25">
      <c r="I931" s="8"/>
      <c r="K931" s="8"/>
      <c r="L931" s="8"/>
      <c r="M931" s="8"/>
      <c r="N931" s="8"/>
      <c r="O931" s="8"/>
      <c r="P931" s="8"/>
      <c r="Q931" s="8"/>
    </row>
    <row r="932" spans="9:17" s="1" customFormat="1" x14ac:dyDescent="0.25">
      <c r="I932" s="8"/>
      <c r="K932" s="8"/>
      <c r="L932" s="8"/>
      <c r="M932" s="8"/>
      <c r="N932" s="8"/>
      <c r="O932" s="8"/>
      <c r="P932" s="8"/>
      <c r="Q932" s="8"/>
    </row>
    <row r="933" spans="9:17" s="1" customFormat="1" x14ac:dyDescent="0.25">
      <c r="I933" s="8"/>
      <c r="K933" s="8"/>
      <c r="L933" s="8"/>
      <c r="M933" s="8"/>
      <c r="N933" s="8"/>
      <c r="O933" s="8"/>
      <c r="P933" s="8"/>
      <c r="Q933" s="8"/>
    </row>
    <row r="934" spans="9:17" s="1" customFormat="1" x14ac:dyDescent="0.25">
      <c r="I934" s="8"/>
      <c r="K934" s="8"/>
      <c r="L934" s="8"/>
      <c r="M934" s="8"/>
      <c r="N934" s="8"/>
      <c r="O934" s="8"/>
      <c r="P934" s="8"/>
      <c r="Q934" s="8"/>
    </row>
    <row r="935" spans="9:17" s="1" customFormat="1" x14ac:dyDescent="0.25">
      <c r="I935" s="8"/>
      <c r="K935" s="8"/>
      <c r="L935" s="8"/>
      <c r="M935" s="8"/>
      <c r="N935" s="8"/>
      <c r="O935" s="8"/>
      <c r="P935" s="8"/>
      <c r="Q935" s="8"/>
    </row>
    <row r="936" spans="9:17" s="1" customFormat="1" x14ac:dyDescent="0.25">
      <c r="I936" s="8"/>
      <c r="K936" s="8"/>
      <c r="L936" s="8"/>
      <c r="M936" s="8"/>
      <c r="N936" s="8"/>
      <c r="O936" s="8"/>
      <c r="P936" s="8"/>
      <c r="Q936" s="8"/>
    </row>
    <row r="937" spans="9:17" s="1" customFormat="1" x14ac:dyDescent="0.25">
      <c r="I937" s="8"/>
      <c r="K937" s="8"/>
      <c r="L937" s="8"/>
      <c r="M937" s="8"/>
      <c r="N937" s="8"/>
      <c r="O937" s="8"/>
      <c r="P937" s="8"/>
      <c r="Q937" s="8"/>
    </row>
    <row r="938" spans="9:17" s="1" customFormat="1" x14ac:dyDescent="0.25">
      <c r="I938" s="8"/>
      <c r="K938" s="8"/>
      <c r="L938" s="8"/>
      <c r="M938" s="8"/>
      <c r="N938" s="8"/>
      <c r="O938" s="8"/>
      <c r="P938" s="8"/>
      <c r="Q938" s="8"/>
    </row>
    <row r="939" spans="9:17" s="1" customFormat="1" x14ac:dyDescent="0.25">
      <c r="I939" s="8"/>
      <c r="K939" s="8"/>
      <c r="L939" s="8"/>
      <c r="M939" s="8"/>
      <c r="N939" s="8"/>
      <c r="O939" s="8"/>
      <c r="P939" s="8"/>
      <c r="Q939" s="8"/>
    </row>
    <row r="940" spans="9:17" s="1" customFormat="1" x14ac:dyDescent="0.25">
      <c r="I940" s="8"/>
      <c r="K940" s="8"/>
      <c r="L940" s="8"/>
      <c r="M940" s="8"/>
      <c r="N940" s="8"/>
      <c r="O940" s="8"/>
      <c r="P940" s="8"/>
      <c r="Q940" s="8"/>
    </row>
    <row r="941" spans="9:17" s="1" customFormat="1" x14ac:dyDescent="0.25">
      <c r="I941" s="8"/>
      <c r="K941" s="8"/>
      <c r="L941" s="8"/>
      <c r="M941" s="8"/>
      <c r="N941" s="8"/>
      <c r="O941" s="8"/>
      <c r="P941" s="8"/>
      <c r="Q941" s="8"/>
    </row>
    <row r="942" spans="9:17" s="1" customFormat="1" x14ac:dyDescent="0.25">
      <c r="I942" s="8"/>
      <c r="K942" s="8"/>
      <c r="L942" s="8"/>
      <c r="M942" s="8"/>
      <c r="N942" s="8"/>
      <c r="O942" s="8"/>
      <c r="P942" s="8"/>
      <c r="Q942" s="8"/>
    </row>
    <row r="943" spans="9:17" s="1" customFormat="1" x14ac:dyDescent="0.25">
      <c r="I943" s="8"/>
      <c r="K943" s="8"/>
      <c r="L943" s="8"/>
      <c r="M943" s="8"/>
      <c r="N943" s="8"/>
      <c r="O943" s="8"/>
      <c r="P943" s="8"/>
      <c r="Q943" s="8"/>
    </row>
    <row r="944" spans="9:17" s="1" customFormat="1" x14ac:dyDescent="0.25">
      <c r="I944" s="8"/>
      <c r="K944" s="8"/>
      <c r="L944" s="8"/>
      <c r="M944" s="8"/>
      <c r="N944" s="8"/>
      <c r="O944" s="8"/>
      <c r="P944" s="8"/>
      <c r="Q944" s="8"/>
    </row>
    <row r="945" spans="9:17" s="1" customFormat="1" x14ac:dyDescent="0.25">
      <c r="I945" s="8"/>
      <c r="K945" s="8"/>
      <c r="L945" s="8"/>
      <c r="M945" s="8"/>
      <c r="N945" s="8"/>
      <c r="O945" s="8"/>
      <c r="P945" s="8"/>
      <c r="Q945" s="8"/>
    </row>
    <row r="946" spans="9:17" s="1" customFormat="1" x14ac:dyDescent="0.25">
      <c r="I946" s="8"/>
      <c r="K946" s="8"/>
      <c r="L946" s="8"/>
      <c r="M946" s="8"/>
      <c r="N946" s="8"/>
      <c r="O946" s="8"/>
      <c r="P946" s="8"/>
      <c r="Q946" s="8"/>
    </row>
    <row r="947" spans="9:17" s="1" customFormat="1" x14ac:dyDescent="0.25">
      <c r="I947" s="8"/>
      <c r="K947" s="8"/>
      <c r="L947" s="8"/>
      <c r="M947" s="8"/>
      <c r="N947" s="8"/>
      <c r="O947" s="8"/>
      <c r="P947" s="8"/>
      <c r="Q947" s="8"/>
    </row>
    <row r="948" spans="9:17" s="1" customFormat="1" x14ac:dyDescent="0.25">
      <c r="I948" s="8"/>
      <c r="K948" s="8"/>
      <c r="L948" s="8"/>
      <c r="M948" s="8"/>
      <c r="N948" s="8"/>
      <c r="O948" s="8"/>
      <c r="P948" s="8"/>
      <c r="Q948" s="8"/>
    </row>
    <row r="949" spans="9:17" s="1" customFormat="1" x14ac:dyDescent="0.25">
      <c r="I949" s="8"/>
      <c r="K949" s="8"/>
      <c r="L949" s="8"/>
      <c r="M949" s="8"/>
      <c r="N949" s="8"/>
      <c r="O949" s="8"/>
      <c r="P949" s="8"/>
      <c r="Q949" s="8"/>
    </row>
    <row r="950" spans="9:17" s="1" customFormat="1" x14ac:dyDescent="0.25">
      <c r="I950" s="8"/>
      <c r="K950" s="8"/>
      <c r="L950" s="8"/>
      <c r="M950" s="8"/>
      <c r="N950" s="8"/>
      <c r="O950" s="8"/>
      <c r="P950" s="8"/>
      <c r="Q950" s="8"/>
    </row>
    <row r="951" spans="9:17" s="1" customFormat="1" x14ac:dyDescent="0.25">
      <c r="I951" s="8"/>
      <c r="K951" s="8"/>
      <c r="L951" s="8"/>
      <c r="M951" s="8"/>
      <c r="N951" s="8"/>
      <c r="O951" s="8"/>
      <c r="P951" s="8"/>
      <c r="Q951" s="8"/>
    </row>
    <row r="952" spans="9:17" s="1" customFormat="1" x14ac:dyDescent="0.25">
      <c r="I952" s="8"/>
      <c r="K952" s="8"/>
      <c r="L952" s="8"/>
      <c r="M952" s="8"/>
      <c r="N952" s="8"/>
      <c r="O952" s="8"/>
      <c r="P952" s="8"/>
      <c r="Q952" s="8"/>
    </row>
    <row r="953" spans="9:17" s="1" customFormat="1" x14ac:dyDescent="0.25">
      <c r="I953" s="8"/>
      <c r="K953" s="8"/>
      <c r="L953" s="8"/>
      <c r="M953" s="8"/>
      <c r="N953" s="8"/>
      <c r="O953" s="8"/>
      <c r="P953" s="8"/>
      <c r="Q953" s="8"/>
    </row>
    <row r="954" spans="9:17" s="1" customFormat="1" x14ac:dyDescent="0.25">
      <c r="I954" s="8"/>
      <c r="K954" s="8"/>
      <c r="L954" s="8"/>
      <c r="M954" s="8"/>
      <c r="N954" s="8"/>
      <c r="O954" s="8"/>
      <c r="P954" s="8"/>
      <c r="Q954" s="8"/>
    </row>
    <row r="955" spans="9:17" s="1" customFormat="1" x14ac:dyDescent="0.25">
      <c r="I955" s="8"/>
      <c r="K955" s="8"/>
      <c r="L955" s="8"/>
      <c r="M955" s="8"/>
      <c r="N955" s="8"/>
      <c r="O955" s="8"/>
      <c r="P955" s="8"/>
      <c r="Q955" s="8"/>
    </row>
    <row r="956" spans="9:17" s="1" customFormat="1" x14ac:dyDescent="0.25">
      <c r="I956" s="8"/>
      <c r="K956" s="8"/>
      <c r="L956" s="8"/>
      <c r="M956" s="8"/>
      <c r="N956" s="8"/>
      <c r="O956" s="8"/>
      <c r="P956" s="8"/>
      <c r="Q956" s="8"/>
    </row>
    <row r="957" spans="9:17" s="1" customFormat="1" x14ac:dyDescent="0.25">
      <c r="I957" s="8"/>
      <c r="K957" s="8"/>
      <c r="L957" s="8"/>
      <c r="M957" s="8"/>
      <c r="N957" s="8"/>
      <c r="O957" s="8"/>
      <c r="P957" s="8"/>
      <c r="Q957" s="8"/>
    </row>
    <row r="958" spans="9:17" s="1" customFormat="1" x14ac:dyDescent="0.25">
      <c r="I958" s="8"/>
      <c r="K958" s="8"/>
      <c r="L958" s="8"/>
      <c r="M958" s="8"/>
      <c r="N958" s="8"/>
      <c r="O958" s="8"/>
      <c r="P958" s="8"/>
      <c r="Q958" s="8"/>
    </row>
    <row r="959" spans="9:17" s="1" customFormat="1" x14ac:dyDescent="0.25">
      <c r="I959" s="8"/>
      <c r="K959" s="8"/>
      <c r="L959" s="8"/>
      <c r="M959" s="8"/>
      <c r="N959" s="8"/>
      <c r="O959" s="8"/>
      <c r="P959" s="8"/>
      <c r="Q959" s="8"/>
    </row>
    <row r="960" spans="9:17" s="1" customFormat="1" x14ac:dyDescent="0.25">
      <c r="I960" s="8"/>
      <c r="K960" s="8"/>
      <c r="L960" s="8"/>
      <c r="M960" s="8"/>
      <c r="N960" s="8"/>
      <c r="O960" s="8"/>
      <c r="P960" s="8"/>
      <c r="Q960" s="8"/>
    </row>
    <row r="961" spans="9:17" s="1" customFormat="1" x14ac:dyDescent="0.25">
      <c r="I961" s="8"/>
      <c r="K961" s="8"/>
      <c r="L961" s="8"/>
      <c r="M961" s="8"/>
      <c r="N961" s="8"/>
      <c r="O961" s="8"/>
      <c r="P961" s="8"/>
      <c r="Q961" s="8"/>
    </row>
    <row r="962" spans="9:17" s="1" customFormat="1" x14ac:dyDescent="0.25">
      <c r="I962" s="8"/>
      <c r="K962" s="8"/>
      <c r="L962" s="8"/>
      <c r="M962" s="8"/>
      <c r="N962" s="8"/>
      <c r="O962" s="8"/>
      <c r="P962" s="8"/>
      <c r="Q962" s="8"/>
    </row>
    <row r="963" spans="9:17" s="1" customFormat="1" x14ac:dyDescent="0.25">
      <c r="I963" s="8"/>
      <c r="K963" s="8"/>
      <c r="L963" s="8"/>
      <c r="M963" s="8"/>
      <c r="N963" s="8"/>
      <c r="O963" s="8"/>
      <c r="P963" s="8"/>
      <c r="Q963" s="8"/>
    </row>
    <row r="964" spans="9:17" s="1" customFormat="1" x14ac:dyDescent="0.25">
      <c r="I964" s="8"/>
      <c r="K964" s="8"/>
      <c r="L964" s="8"/>
      <c r="M964" s="8"/>
      <c r="N964" s="8"/>
      <c r="O964" s="8"/>
      <c r="P964" s="8"/>
      <c r="Q964" s="8"/>
    </row>
    <row r="965" spans="9:17" s="1" customFormat="1" x14ac:dyDescent="0.25">
      <c r="I965" s="8"/>
      <c r="K965" s="8"/>
      <c r="L965" s="8"/>
      <c r="M965" s="8"/>
      <c r="N965" s="8"/>
      <c r="O965" s="8"/>
      <c r="P965" s="8"/>
      <c r="Q965" s="8"/>
    </row>
    <row r="966" spans="9:17" s="1" customFormat="1" x14ac:dyDescent="0.25">
      <c r="I966" s="8"/>
      <c r="K966" s="8"/>
      <c r="L966" s="8"/>
      <c r="M966" s="8"/>
      <c r="N966" s="8"/>
      <c r="O966" s="8"/>
      <c r="P966" s="8"/>
      <c r="Q966" s="8"/>
    </row>
    <row r="967" spans="9:17" s="1" customFormat="1" x14ac:dyDescent="0.25">
      <c r="I967" s="8"/>
      <c r="K967" s="8"/>
      <c r="L967" s="8"/>
      <c r="M967" s="8"/>
      <c r="N967" s="8"/>
      <c r="O967" s="8"/>
      <c r="P967" s="8"/>
      <c r="Q967" s="8"/>
    </row>
    <row r="968" spans="9:17" s="1" customFormat="1" x14ac:dyDescent="0.25">
      <c r="I968" s="8"/>
      <c r="K968" s="8"/>
      <c r="L968" s="8"/>
      <c r="M968" s="8"/>
      <c r="N968" s="8"/>
      <c r="O968" s="8"/>
      <c r="P968" s="8"/>
      <c r="Q968" s="8"/>
    </row>
    <row r="969" spans="9:17" s="1" customFormat="1" x14ac:dyDescent="0.25">
      <c r="I969" s="8"/>
      <c r="K969" s="8"/>
      <c r="L969" s="8"/>
      <c r="M969" s="8"/>
      <c r="N969" s="8"/>
      <c r="O969" s="8"/>
      <c r="P969" s="8"/>
      <c r="Q969" s="8"/>
    </row>
    <row r="970" spans="9:17" s="1" customFormat="1" x14ac:dyDescent="0.25">
      <c r="I970" s="8"/>
      <c r="K970" s="8"/>
      <c r="L970" s="8"/>
      <c r="M970" s="8"/>
      <c r="N970" s="8"/>
      <c r="O970" s="8"/>
      <c r="P970" s="8"/>
      <c r="Q970" s="8"/>
    </row>
    <row r="971" spans="9:17" s="1" customFormat="1" x14ac:dyDescent="0.25">
      <c r="I971" s="8"/>
      <c r="K971" s="8"/>
      <c r="L971" s="8"/>
      <c r="M971" s="8"/>
      <c r="N971" s="8"/>
      <c r="O971" s="8"/>
      <c r="P971" s="8"/>
      <c r="Q971" s="8"/>
    </row>
    <row r="972" spans="9:17" s="1" customFormat="1" x14ac:dyDescent="0.25">
      <c r="I972" s="8"/>
      <c r="K972" s="8"/>
      <c r="L972" s="8"/>
      <c r="M972" s="8"/>
      <c r="N972" s="8"/>
      <c r="O972" s="8"/>
      <c r="P972" s="8"/>
      <c r="Q972" s="8"/>
    </row>
    <row r="973" spans="9:17" s="1" customFormat="1" x14ac:dyDescent="0.25">
      <c r="I973" s="8"/>
      <c r="K973" s="8"/>
      <c r="L973" s="8"/>
      <c r="M973" s="8"/>
      <c r="N973" s="8"/>
      <c r="O973" s="8"/>
      <c r="P973" s="8"/>
      <c r="Q973" s="8"/>
    </row>
    <row r="974" spans="9:17" s="1" customFormat="1" x14ac:dyDescent="0.25">
      <c r="I974" s="8"/>
      <c r="K974" s="8"/>
      <c r="L974" s="8"/>
      <c r="M974" s="8"/>
      <c r="N974" s="8"/>
      <c r="O974" s="8"/>
      <c r="P974" s="8"/>
      <c r="Q974" s="8"/>
    </row>
    <row r="975" spans="9:17" s="1" customFormat="1" x14ac:dyDescent="0.25">
      <c r="I975" s="8"/>
      <c r="K975" s="8"/>
      <c r="L975" s="8"/>
      <c r="M975" s="8"/>
      <c r="N975" s="8"/>
      <c r="O975" s="8"/>
      <c r="P975" s="8"/>
      <c r="Q975" s="8"/>
    </row>
    <row r="976" spans="9:17" s="1" customFormat="1" x14ac:dyDescent="0.25">
      <c r="I976" s="8"/>
      <c r="K976" s="8"/>
      <c r="L976" s="8"/>
      <c r="M976" s="8"/>
      <c r="N976" s="8"/>
      <c r="O976" s="8"/>
      <c r="P976" s="8"/>
      <c r="Q976" s="8"/>
    </row>
    <row r="977" spans="9:17" s="1" customFormat="1" x14ac:dyDescent="0.25">
      <c r="I977" s="8"/>
      <c r="K977" s="8"/>
      <c r="L977" s="8"/>
      <c r="M977" s="8"/>
      <c r="N977" s="8"/>
      <c r="O977" s="8"/>
      <c r="P977" s="8"/>
      <c r="Q977" s="8"/>
    </row>
    <row r="978" spans="9:17" s="1" customFormat="1" x14ac:dyDescent="0.25">
      <c r="I978" s="8"/>
      <c r="K978" s="8"/>
      <c r="L978" s="8"/>
      <c r="M978" s="8"/>
      <c r="N978" s="8"/>
      <c r="O978" s="8"/>
      <c r="P978" s="8"/>
      <c r="Q978" s="8"/>
    </row>
    <row r="979" spans="9:17" s="1" customFormat="1" x14ac:dyDescent="0.25">
      <c r="I979" s="8"/>
      <c r="K979" s="8"/>
      <c r="L979" s="8"/>
      <c r="M979" s="8"/>
      <c r="N979" s="8"/>
      <c r="O979" s="8"/>
      <c r="P979" s="8"/>
      <c r="Q979" s="8"/>
    </row>
    <row r="980" spans="9:17" s="1" customFormat="1" x14ac:dyDescent="0.25">
      <c r="I980" s="8"/>
      <c r="K980" s="8"/>
      <c r="L980" s="8"/>
      <c r="M980" s="8"/>
      <c r="N980" s="8"/>
      <c r="O980" s="8"/>
      <c r="P980" s="8"/>
      <c r="Q980" s="8"/>
    </row>
    <row r="981" spans="9:17" s="1" customFormat="1" x14ac:dyDescent="0.25">
      <c r="I981" s="8"/>
      <c r="K981" s="8"/>
      <c r="L981" s="8"/>
      <c r="M981" s="8"/>
      <c r="N981" s="8"/>
      <c r="O981" s="8"/>
      <c r="P981" s="8"/>
      <c r="Q981" s="8"/>
    </row>
    <row r="982" spans="9:17" s="1" customFormat="1" x14ac:dyDescent="0.25">
      <c r="I982" s="8"/>
      <c r="K982" s="8"/>
      <c r="L982" s="8"/>
      <c r="M982" s="8"/>
      <c r="N982" s="8"/>
      <c r="O982" s="8"/>
      <c r="P982" s="8"/>
      <c r="Q982" s="8"/>
    </row>
    <row r="983" spans="9:17" s="1" customFormat="1" x14ac:dyDescent="0.25">
      <c r="I983" s="8"/>
      <c r="K983" s="8"/>
      <c r="L983" s="8"/>
      <c r="M983" s="8"/>
      <c r="N983" s="8"/>
      <c r="O983" s="8"/>
      <c r="P983" s="8"/>
      <c r="Q983" s="8"/>
    </row>
    <row r="984" spans="9:17" s="1" customFormat="1" x14ac:dyDescent="0.25">
      <c r="I984" s="8"/>
      <c r="K984" s="8"/>
      <c r="L984" s="8"/>
      <c r="M984" s="8"/>
      <c r="N984" s="8"/>
      <c r="O984" s="8"/>
      <c r="P984" s="8"/>
      <c r="Q984" s="8"/>
    </row>
    <row r="985" spans="9:17" s="1" customFormat="1" x14ac:dyDescent="0.25">
      <c r="I985" s="8"/>
      <c r="K985" s="8"/>
      <c r="L985" s="8"/>
      <c r="M985" s="8"/>
      <c r="N985" s="8"/>
      <c r="O985" s="8"/>
      <c r="P985" s="8"/>
      <c r="Q985" s="8"/>
    </row>
    <row r="986" spans="9:17" s="1" customFormat="1" x14ac:dyDescent="0.25">
      <c r="I986" s="8"/>
      <c r="K986" s="8"/>
      <c r="L986" s="8"/>
      <c r="M986" s="8"/>
      <c r="N986" s="8"/>
      <c r="O986" s="8"/>
      <c r="P986" s="8"/>
      <c r="Q986" s="8"/>
    </row>
    <row r="987" spans="9:17" s="1" customFormat="1" x14ac:dyDescent="0.25">
      <c r="I987" s="8"/>
      <c r="K987" s="8"/>
      <c r="L987" s="8"/>
      <c r="M987" s="8"/>
      <c r="N987" s="8"/>
      <c r="O987" s="8"/>
      <c r="P987" s="8"/>
      <c r="Q987" s="8"/>
    </row>
    <row r="988" spans="9:17" s="1" customFormat="1" x14ac:dyDescent="0.25">
      <c r="I988" s="8"/>
      <c r="K988" s="8"/>
      <c r="L988" s="8"/>
      <c r="M988" s="8"/>
      <c r="N988" s="8"/>
      <c r="O988" s="8"/>
      <c r="P988" s="8"/>
      <c r="Q988" s="8"/>
    </row>
    <row r="989" spans="9:17" s="1" customFormat="1" x14ac:dyDescent="0.25">
      <c r="I989" s="8"/>
      <c r="K989" s="8"/>
      <c r="L989" s="8"/>
      <c r="M989" s="8"/>
      <c r="N989" s="8"/>
      <c r="O989" s="8"/>
      <c r="P989" s="8"/>
      <c r="Q989" s="8"/>
    </row>
    <row r="990" spans="9:17" s="1" customFormat="1" x14ac:dyDescent="0.25">
      <c r="I990" s="8"/>
      <c r="K990" s="8"/>
      <c r="L990" s="8"/>
      <c r="M990" s="8"/>
      <c r="N990" s="8"/>
      <c r="O990" s="8"/>
      <c r="P990" s="8"/>
      <c r="Q990" s="8"/>
    </row>
    <row r="991" spans="9:17" s="1" customFormat="1" x14ac:dyDescent="0.25">
      <c r="I991" s="8"/>
      <c r="K991" s="8"/>
      <c r="L991" s="8"/>
      <c r="M991" s="8"/>
      <c r="N991" s="8"/>
      <c r="O991" s="8"/>
      <c r="P991" s="8"/>
      <c r="Q991" s="8"/>
    </row>
    <row r="992" spans="9:17" s="1" customFormat="1" x14ac:dyDescent="0.25">
      <c r="I992" s="8"/>
      <c r="K992" s="8"/>
      <c r="L992" s="8"/>
      <c r="M992" s="8"/>
      <c r="N992" s="8"/>
      <c r="O992" s="8"/>
      <c r="P992" s="8"/>
      <c r="Q992" s="8"/>
    </row>
    <row r="993" spans="9:17" s="1" customFormat="1" x14ac:dyDescent="0.25">
      <c r="I993" s="8"/>
      <c r="K993" s="8"/>
      <c r="L993" s="8"/>
      <c r="M993" s="8"/>
      <c r="N993" s="8"/>
      <c r="O993" s="8"/>
      <c r="P993" s="8"/>
      <c r="Q993" s="8"/>
    </row>
    <row r="994" spans="9:17" s="1" customFormat="1" x14ac:dyDescent="0.25">
      <c r="I994" s="8"/>
      <c r="K994" s="8"/>
      <c r="L994" s="8"/>
      <c r="M994" s="8"/>
      <c r="N994" s="8"/>
      <c r="O994" s="8"/>
      <c r="P994" s="8"/>
      <c r="Q994" s="8"/>
    </row>
    <row r="995" spans="9:17" s="1" customFormat="1" x14ac:dyDescent="0.25">
      <c r="I995" s="8"/>
      <c r="K995" s="8"/>
      <c r="L995" s="8"/>
      <c r="M995" s="8"/>
      <c r="N995" s="8"/>
      <c r="O995" s="8"/>
      <c r="P995" s="8"/>
      <c r="Q995" s="8"/>
    </row>
    <row r="996" spans="9:17" s="1" customFormat="1" x14ac:dyDescent="0.25">
      <c r="I996" s="8"/>
      <c r="K996" s="8"/>
      <c r="L996" s="8"/>
      <c r="M996" s="8"/>
      <c r="N996" s="8"/>
      <c r="O996" s="8"/>
      <c r="P996" s="8"/>
      <c r="Q996" s="8"/>
    </row>
    <row r="997" spans="9:17" s="1" customFormat="1" x14ac:dyDescent="0.25">
      <c r="I997" s="8"/>
      <c r="K997" s="8"/>
      <c r="L997" s="8"/>
      <c r="M997" s="8"/>
      <c r="N997" s="8"/>
      <c r="O997" s="8"/>
      <c r="P997" s="8"/>
      <c r="Q997" s="8"/>
    </row>
    <row r="998" spans="9:17" s="1" customFormat="1" x14ac:dyDescent="0.25">
      <c r="I998" s="8"/>
      <c r="K998" s="8"/>
      <c r="L998" s="8"/>
      <c r="M998" s="8"/>
      <c r="N998" s="8"/>
      <c r="O998" s="8"/>
      <c r="P998" s="8"/>
      <c r="Q998" s="8"/>
    </row>
    <row r="999" spans="9:17" s="1" customFormat="1" x14ac:dyDescent="0.25">
      <c r="I999" s="8"/>
      <c r="K999" s="8"/>
      <c r="L999" s="8"/>
      <c r="M999" s="8"/>
      <c r="N999" s="8"/>
      <c r="O999" s="8"/>
      <c r="P999" s="8"/>
      <c r="Q999" s="8"/>
    </row>
    <row r="1000" spans="9:17" s="1" customFormat="1" x14ac:dyDescent="0.25">
      <c r="I1000" s="8"/>
      <c r="K1000" s="8"/>
      <c r="L1000" s="8"/>
      <c r="M1000" s="8"/>
      <c r="N1000" s="8"/>
      <c r="O1000" s="8"/>
      <c r="P1000" s="8"/>
      <c r="Q1000" s="8"/>
    </row>
    <row r="1001" spans="9:17" s="1" customFormat="1" x14ac:dyDescent="0.25">
      <c r="I1001" s="8"/>
      <c r="K1001" s="8"/>
      <c r="L1001" s="8"/>
      <c r="M1001" s="8"/>
      <c r="N1001" s="8"/>
      <c r="O1001" s="8"/>
      <c r="P1001" s="8"/>
      <c r="Q1001" s="8"/>
    </row>
    <row r="1002" spans="9:17" s="1" customFormat="1" x14ac:dyDescent="0.25">
      <c r="I1002" s="8"/>
      <c r="K1002" s="8"/>
      <c r="L1002" s="8"/>
      <c r="M1002" s="8"/>
      <c r="N1002" s="8"/>
      <c r="O1002" s="8"/>
      <c r="P1002" s="8"/>
      <c r="Q1002" s="8"/>
    </row>
    <row r="1003" spans="9:17" s="1" customFormat="1" x14ac:dyDescent="0.25">
      <c r="I1003" s="8"/>
      <c r="K1003" s="8"/>
      <c r="L1003" s="8"/>
      <c r="M1003" s="8"/>
      <c r="N1003" s="8"/>
      <c r="O1003" s="8"/>
      <c r="P1003" s="8"/>
      <c r="Q1003" s="8"/>
    </row>
    <row r="1004" spans="9:17" s="1" customFormat="1" x14ac:dyDescent="0.25">
      <c r="I1004" s="8"/>
      <c r="K1004" s="8"/>
      <c r="L1004" s="8"/>
      <c r="M1004" s="8"/>
      <c r="N1004" s="8"/>
      <c r="O1004" s="8"/>
      <c r="P1004" s="8"/>
      <c r="Q1004" s="8"/>
    </row>
    <row r="1005" spans="9:17" s="1" customFormat="1" x14ac:dyDescent="0.25">
      <c r="I1005" s="8"/>
      <c r="K1005" s="8"/>
      <c r="L1005" s="8"/>
      <c r="M1005" s="8"/>
      <c r="N1005" s="8"/>
      <c r="O1005" s="8"/>
      <c r="P1005" s="8"/>
      <c r="Q1005" s="8"/>
    </row>
    <row r="1006" spans="9:17" s="1" customFormat="1" x14ac:dyDescent="0.25">
      <c r="I1006" s="8"/>
      <c r="K1006" s="8"/>
      <c r="L1006" s="8"/>
      <c r="M1006" s="8"/>
      <c r="N1006" s="8"/>
      <c r="O1006" s="8"/>
      <c r="P1006" s="8"/>
      <c r="Q1006" s="8"/>
    </row>
    <row r="1007" spans="9:17" s="1" customFormat="1" x14ac:dyDescent="0.25">
      <c r="I1007" s="8"/>
      <c r="K1007" s="8"/>
      <c r="L1007" s="8"/>
      <c r="M1007" s="8"/>
      <c r="N1007" s="8"/>
      <c r="O1007" s="8"/>
      <c r="P1007" s="8"/>
      <c r="Q1007" s="8"/>
    </row>
    <row r="1008" spans="9:17" s="1" customFormat="1" x14ac:dyDescent="0.25">
      <c r="I1008" s="8"/>
      <c r="K1008" s="8"/>
      <c r="L1008" s="8"/>
      <c r="M1008" s="8"/>
      <c r="N1008" s="8"/>
      <c r="O1008" s="8"/>
      <c r="P1008" s="8"/>
      <c r="Q1008" s="8"/>
    </row>
    <row r="1009" spans="9:17" s="1" customFormat="1" x14ac:dyDescent="0.25">
      <c r="I1009" s="8"/>
      <c r="K1009" s="8"/>
      <c r="L1009" s="8"/>
      <c r="M1009" s="8"/>
      <c r="N1009" s="8"/>
      <c r="O1009" s="8"/>
      <c r="P1009" s="8"/>
      <c r="Q1009" s="8"/>
    </row>
    <row r="1010" spans="9:17" s="1" customFormat="1" x14ac:dyDescent="0.25">
      <c r="I1010" s="8"/>
      <c r="K1010" s="8"/>
      <c r="L1010" s="8"/>
      <c r="M1010" s="8"/>
      <c r="N1010" s="8"/>
      <c r="O1010" s="8"/>
      <c r="P1010" s="8"/>
      <c r="Q1010" s="8"/>
    </row>
    <row r="1011" spans="9:17" s="1" customFormat="1" x14ac:dyDescent="0.25">
      <c r="I1011" s="8"/>
      <c r="K1011" s="8"/>
      <c r="L1011" s="8"/>
      <c r="M1011" s="8"/>
      <c r="N1011" s="8"/>
      <c r="O1011" s="8"/>
      <c r="P1011" s="8"/>
      <c r="Q1011" s="8"/>
    </row>
    <row r="1012" spans="9:17" s="1" customFormat="1" x14ac:dyDescent="0.25">
      <c r="I1012" s="8"/>
      <c r="K1012" s="8"/>
      <c r="L1012" s="8"/>
      <c r="M1012" s="8"/>
      <c r="N1012" s="8"/>
      <c r="O1012" s="8"/>
      <c r="P1012" s="8"/>
      <c r="Q1012" s="8"/>
    </row>
    <row r="1013" spans="9:17" s="1" customFormat="1" x14ac:dyDescent="0.25">
      <c r="I1013" s="8"/>
      <c r="K1013" s="8"/>
      <c r="L1013" s="8"/>
      <c r="M1013" s="8"/>
      <c r="N1013" s="8"/>
      <c r="O1013" s="8"/>
      <c r="P1013" s="8"/>
      <c r="Q1013" s="8"/>
    </row>
    <row r="1014" spans="9:17" s="1" customFormat="1" x14ac:dyDescent="0.25">
      <c r="I1014" s="8"/>
      <c r="K1014" s="8"/>
      <c r="L1014" s="8"/>
      <c r="M1014" s="8"/>
      <c r="N1014" s="8"/>
      <c r="O1014" s="8"/>
      <c r="P1014" s="8"/>
      <c r="Q1014" s="8"/>
    </row>
    <row r="1015" spans="9:17" s="1" customFormat="1" x14ac:dyDescent="0.25">
      <c r="I1015" s="8"/>
      <c r="K1015" s="8"/>
      <c r="L1015" s="8"/>
      <c r="M1015" s="8"/>
      <c r="N1015" s="8"/>
      <c r="O1015" s="8"/>
      <c r="P1015" s="8"/>
      <c r="Q1015" s="8"/>
    </row>
    <row r="1016" spans="9:17" s="1" customFormat="1" x14ac:dyDescent="0.25">
      <c r="I1016" s="8"/>
      <c r="K1016" s="8"/>
      <c r="L1016" s="8"/>
      <c r="M1016" s="8"/>
      <c r="N1016" s="8"/>
      <c r="O1016" s="8"/>
      <c r="P1016" s="8"/>
      <c r="Q1016" s="8"/>
    </row>
    <row r="1017" spans="9:17" s="1" customFormat="1" x14ac:dyDescent="0.25">
      <c r="I1017" s="8"/>
      <c r="K1017" s="8"/>
      <c r="L1017" s="8"/>
      <c r="M1017" s="8"/>
      <c r="N1017" s="8"/>
      <c r="O1017" s="8"/>
      <c r="P1017" s="8"/>
      <c r="Q1017" s="8"/>
    </row>
    <row r="1018" spans="9:17" s="1" customFormat="1" x14ac:dyDescent="0.25">
      <c r="I1018" s="8"/>
      <c r="K1018" s="8"/>
      <c r="L1018" s="8"/>
      <c r="M1018" s="8"/>
      <c r="N1018" s="8"/>
      <c r="O1018" s="8"/>
      <c r="P1018" s="8"/>
      <c r="Q1018" s="8"/>
    </row>
    <row r="1019" spans="9:17" s="1" customFormat="1" x14ac:dyDescent="0.25">
      <c r="I1019" s="8"/>
      <c r="K1019" s="8"/>
      <c r="L1019" s="8"/>
      <c r="M1019" s="8"/>
      <c r="N1019" s="8"/>
      <c r="O1019" s="8"/>
      <c r="P1019" s="8"/>
      <c r="Q1019" s="8"/>
    </row>
    <row r="1020" spans="9:17" s="1" customFormat="1" x14ac:dyDescent="0.25">
      <c r="I1020" s="8"/>
      <c r="K1020" s="8"/>
      <c r="L1020" s="8"/>
      <c r="M1020" s="8"/>
      <c r="N1020" s="8"/>
      <c r="O1020" s="8"/>
      <c r="P1020" s="8"/>
      <c r="Q1020" s="8"/>
    </row>
    <row r="1021" spans="9:17" s="1" customFormat="1" x14ac:dyDescent="0.25">
      <c r="I1021" s="8"/>
      <c r="K1021" s="8"/>
      <c r="L1021" s="8"/>
      <c r="M1021" s="8"/>
      <c r="N1021" s="8"/>
      <c r="O1021" s="8"/>
      <c r="P1021" s="8"/>
      <c r="Q1021" s="8"/>
    </row>
    <row r="1022" spans="9:17" s="1" customFormat="1" x14ac:dyDescent="0.25">
      <c r="I1022" s="8"/>
      <c r="K1022" s="8"/>
      <c r="L1022" s="8"/>
      <c r="M1022" s="8"/>
      <c r="N1022" s="8"/>
      <c r="O1022" s="8"/>
      <c r="P1022" s="8"/>
      <c r="Q1022" s="8"/>
    </row>
    <row r="1023" spans="9:17" s="1" customFormat="1" x14ac:dyDescent="0.25">
      <c r="I1023" s="8"/>
      <c r="K1023" s="8"/>
      <c r="L1023" s="8"/>
      <c r="M1023" s="8"/>
      <c r="N1023" s="8"/>
      <c r="O1023" s="8"/>
      <c r="P1023" s="8"/>
      <c r="Q1023" s="8"/>
    </row>
    <row r="1024" spans="9:17" s="1" customFormat="1" x14ac:dyDescent="0.25">
      <c r="I1024" s="8"/>
      <c r="K1024" s="8"/>
      <c r="L1024" s="8"/>
      <c r="M1024" s="8"/>
      <c r="N1024" s="8"/>
      <c r="O1024" s="8"/>
      <c r="P1024" s="8"/>
      <c r="Q1024" s="8"/>
    </row>
    <row r="1025" spans="9:17" s="1" customFormat="1" x14ac:dyDescent="0.25">
      <c r="I1025" s="8"/>
      <c r="K1025" s="8"/>
      <c r="L1025" s="8"/>
      <c r="M1025" s="8"/>
      <c r="N1025" s="8"/>
      <c r="O1025" s="8"/>
      <c r="P1025" s="8"/>
      <c r="Q1025" s="8"/>
    </row>
    <row r="1026" spans="9:17" s="1" customFormat="1" x14ac:dyDescent="0.25">
      <c r="I1026" s="8"/>
      <c r="K1026" s="8"/>
      <c r="L1026" s="8"/>
      <c r="M1026" s="8"/>
      <c r="N1026" s="8"/>
      <c r="O1026" s="8"/>
      <c r="P1026" s="8"/>
      <c r="Q1026" s="8"/>
    </row>
    <row r="1027" spans="9:17" s="1" customFormat="1" x14ac:dyDescent="0.25">
      <c r="I1027" s="8"/>
      <c r="K1027" s="8"/>
      <c r="L1027" s="8"/>
      <c r="M1027" s="8"/>
      <c r="N1027" s="8"/>
      <c r="O1027" s="8"/>
      <c r="P1027" s="8"/>
      <c r="Q1027" s="8"/>
    </row>
    <row r="1028" spans="9:17" s="1" customFormat="1" x14ac:dyDescent="0.25">
      <c r="I1028" s="8"/>
      <c r="K1028" s="8"/>
      <c r="L1028" s="8"/>
      <c r="M1028" s="8"/>
      <c r="N1028" s="8"/>
      <c r="O1028" s="8"/>
      <c r="P1028" s="8"/>
      <c r="Q1028" s="8"/>
    </row>
    <row r="1029" spans="9:17" s="1" customFormat="1" x14ac:dyDescent="0.25">
      <c r="I1029" s="8"/>
      <c r="K1029" s="8"/>
      <c r="L1029" s="8"/>
      <c r="M1029" s="8"/>
      <c r="N1029" s="8"/>
      <c r="O1029" s="8"/>
      <c r="P1029" s="8"/>
      <c r="Q1029" s="8"/>
    </row>
    <row r="1030" spans="9:17" s="1" customFormat="1" x14ac:dyDescent="0.25">
      <c r="I1030" s="8"/>
      <c r="K1030" s="8"/>
      <c r="L1030" s="8"/>
      <c r="M1030" s="8"/>
      <c r="N1030" s="8"/>
      <c r="O1030" s="8"/>
      <c r="P1030" s="8"/>
      <c r="Q1030" s="8"/>
    </row>
    <row r="1031" spans="9:17" s="1" customFormat="1" x14ac:dyDescent="0.25">
      <c r="I1031" s="8"/>
      <c r="K1031" s="8"/>
      <c r="L1031" s="8"/>
      <c r="M1031" s="8"/>
      <c r="N1031" s="8"/>
      <c r="O1031" s="8"/>
      <c r="P1031" s="8"/>
      <c r="Q1031" s="8"/>
    </row>
    <row r="1032" spans="9:17" s="1" customFormat="1" x14ac:dyDescent="0.25">
      <c r="I1032" s="8"/>
      <c r="K1032" s="8"/>
      <c r="L1032" s="8"/>
      <c r="M1032" s="8"/>
      <c r="N1032" s="8"/>
      <c r="O1032" s="8"/>
      <c r="P1032" s="8"/>
      <c r="Q1032" s="8"/>
    </row>
    <row r="1033" spans="9:17" s="1" customFormat="1" x14ac:dyDescent="0.25">
      <c r="I1033" s="8"/>
      <c r="K1033" s="8"/>
      <c r="L1033" s="8"/>
      <c r="M1033" s="8"/>
      <c r="N1033" s="8"/>
      <c r="O1033" s="8"/>
      <c r="P1033" s="8"/>
      <c r="Q1033" s="8"/>
    </row>
    <row r="1034" spans="9:17" s="1" customFormat="1" x14ac:dyDescent="0.25">
      <c r="I1034" s="8"/>
      <c r="K1034" s="8"/>
      <c r="L1034" s="8"/>
      <c r="M1034" s="8"/>
      <c r="N1034" s="8"/>
      <c r="O1034" s="8"/>
      <c r="P1034" s="8"/>
      <c r="Q1034" s="8"/>
    </row>
    <row r="1035" spans="9:17" s="1" customFormat="1" x14ac:dyDescent="0.25">
      <c r="I1035" s="8"/>
      <c r="K1035" s="8"/>
      <c r="L1035" s="8"/>
      <c r="M1035" s="8"/>
      <c r="N1035" s="8"/>
      <c r="O1035" s="8"/>
      <c r="P1035" s="8"/>
      <c r="Q1035" s="8"/>
    </row>
    <row r="1036" spans="9:17" s="1" customFormat="1" x14ac:dyDescent="0.25">
      <c r="I1036" s="8"/>
      <c r="K1036" s="8"/>
      <c r="L1036" s="8"/>
      <c r="M1036" s="8"/>
      <c r="N1036" s="8"/>
      <c r="O1036" s="8"/>
      <c r="P1036" s="8"/>
      <c r="Q1036" s="8"/>
    </row>
    <row r="1037" spans="9:17" s="1" customFormat="1" x14ac:dyDescent="0.25">
      <c r="I1037" s="8"/>
      <c r="K1037" s="8"/>
      <c r="L1037" s="8"/>
      <c r="M1037" s="8"/>
      <c r="N1037" s="8"/>
      <c r="O1037" s="8"/>
      <c r="P1037" s="8"/>
      <c r="Q1037" s="8"/>
    </row>
    <row r="1038" spans="9:17" s="1" customFormat="1" x14ac:dyDescent="0.25">
      <c r="I1038" s="8"/>
      <c r="K1038" s="8"/>
      <c r="L1038" s="8"/>
      <c r="M1038" s="8"/>
      <c r="N1038" s="8"/>
      <c r="O1038" s="8"/>
      <c r="P1038" s="8"/>
      <c r="Q1038" s="8"/>
    </row>
    <row r="1039" spans="9:17" s="1" customFormat="1" x14ac:dyDescent="0.25">
      <c r="I1039" s="8"/>
      <c r="K1039" s="8"/>
      <c r="L1039" s="8"/>
      <c r="M1039" s="8"/>
      <c r="N1039" s="8"/>
      <c r="O1039" s="8"/>
      <c r="P1039" s="8"/>
      <c r="Q1039" s="8"/>
    </row>
    <row r="1040" spans="9:17" s="1" customFormat="1" x14ac:dyDescent="0.25">
      <c r="I1040" s="8"/>
      <c r="K1040" s="8"/>
      <c r="L1040" s="8"/>
      <c r="M1040" s="8"/>
      <c r="N1040" s="8"/>
      <c r="O1040" s="8"/>
      <c r="P1040" s="8"/>
      <c r="Q1040" s="8"/>
    </row>
    <row r="1041" spans="9:17" s="1" customFormat="1" x14ac:dyDescent="0.25">
      <c r="I1041" s="8"/>
      <c r="K1041" s="8"/>
      <c r="L1041" s="8"/>
      <c r="M1041" s="8"/>
      <c r="N1041" s="8"/>
      <c r="O1041" s="8"/>
      <c r="P1041" s="8"/>
      <c r="Q1041" s="8"/>
    </row>
    <row r="1042" spans="9:17" s="1" customFormat="1" x14ac:dyDescent="0.25">
      <c r="I1042" s="8"/>
      <c r="K1042" s="8"/>
      <c r="L1042" s="8"/>
      <c r="M1042" s="8"/>
      <c r="N1042" s="8"/>
      <c r="O1042" s="8"/>
      <c r="P1042" s="8"/>
      <c r="Q1042" s="8"/>
    </row>
    <row r="1043" spans="9:17" s="1" customFormat="1" x14ac:dyDescent="0.25">
      <c r="I1043" s="8"/>
      <c r="K1043" s="8"/>
      <c r="L1043" s="8"/>
      <c r="M1043" s="8"/>
      <c r="N1043" s="8"/>
      <c r="O1043" s="8"/>
      <c r="P1043" s="8"/>
      <c r="Q1043" s="8"/>
    </row>
    <row r="1044" spans="9:17" s="1" customFormat="1" x14ac:dyDescent="0.25">
      <c r="I1044" s="8"/>
      <c r="K1044" s="8"/>
      <c r="L1044" s="8"/>
      <c r="M1044" s="8"/>
      <c r="N1044" s="8"/>
      <c r="O1044" s="8"/>
      <c r="P1044" s="8"/>
      <c r="Q1044" s="8"/>
    </row>
    <row r="1045" spans="9:17" s="1" customFormat="1" x14ac:dyDescent="0.25">
      <c r="I1045" s="8"/>
      <c r="K1045" s="8"/>
      <c r="L1045" s="8"/>
      <c r="M1045" s="8"/>
      <c r="N1045" s="8"/>
      <c r="O1045" s="8"/>
      <c r="P1045" s="8"/>
      <c r="Q1045" s="8"/>
    </row>
    <row r="1046" spans="9:17" s="1" customFormat="1" x14ac:dyDescent="0.25">
      <c r="I1046" s="8"/>
      <c r="K1046" s="8"/>
      <c r="L1046" s="8"/>
      <c r="M1046" s="8"/>
      <c r="N1046" s="8"/>
      <c r="O1046" s="8"/>
      <c r="P1046" s="8"/>
      <c r="Q1046" s="8"/>
    </row>
    <row r="1047" spans="9:17" s="1" customFormat="1" x14ac:dyDescent="0.25">
      <c r="I1047" s="8"/>
      <c r="K1047" s="8"/>
      <c r="L1047" s="8"/>
      <c r="M1047" s="8"/>
      <c r="N1047" s="8"/>
      <c r="O1047" s="8"/>
      <c r="P1047" s="8"/>
      <c r="Q1047" s="8"/>
    </row>
    <row r="1048" spans="9:17" s="1" customFormat="1" x14ac:dyDescent="0.25">
      <c r="I1048" s="8"/>
      <c r="K1048" s="8"/>
      <c r="L1048" s="8"/>
      <c r="M1048" s="8"/>
      <c r="N1048" s="8"/>
      <c r="O1048" s="8"/>
      <c r="P1048" s="8"/>
      <c r="Q1048" s="8"/>
    </row>
    <row r="1049" spans="9:17" s="1" customFormat="1" x14ac:dyDescent="0.25">
      <c r="I1049" s="8"/>
      <c r="K1049" s="8"/>
      <c r="L1049" s="8"/>
      <c r="M1049" s="8"/>
      <c r="N1049" s="8"/>
      <c r="O1049" s="8"/>
      <c r="P1049" s="8"/>
      <c r="Q1049" s="8"/>
    </row>
    <row r="1050" spans="9:17" s="1" customFormat="1" x14ac:dyDescent="0.25">
      <c r="I1050" s="8"/>
      <c r="K1050" s="8"/>
      <c r="L1050" s="8"/>
      <c r="M1050" s="8"/>
      <c r="N1050" s="8"/>
      <c r="O1050" s="8"/>
      <c r="P1050" s="8"/>
      <c r="Q1050" s="8"/>
    </row>
    <row r="1051" spans="9:17" s="1" customFormat="1" x14ac:dyDescent="0.25">
      <c r="I1051" s="8"/>
      <c r="K1051" s="8"/>
      <c r="L1051" s="8"/>
      <c r="M1051" s="8"/>
      <c r="N1051" s="8"/>
      <c r="O1051" s="8"/>
      <c r="P1051" s="8"/>
      <c r="Q1051" s="8"/>
    </row>
    <row r="1052" spans="9:17" s="1" customFormat="1" x14ac:dyDescent="0.25">
      <c r="I1052" s="8"/>
      <c r="K1052" s="8"/>
      <c r="L1052" s="8"/>
      <c r="M1052" s="8"/>
      <c r="N1052" s="8"/>
      <c r="O1052" s="8"/>
      <c r="P1052" s="8"/>
      <c r="Q1052" s="8"/>
    </row>
    <row r="1053" spans="9:17" s="1" customFormat="1" x14ac:dyDescent="0.25">
      <c r="I1053" s="8"/>
      <c r="K1053" s="8"/>
      <c r="L1053" s="8"/>
      <c r="M1053" s="8"/>
      <c r="N1053" s="8"/>
      <c r="O1053" s="8"/>
      <c r="P1053" s="8"/>
      <c r="Q1053" s="8"/>
    </row>
    <row r="1054" spans="9:17" s="1" customFormat="1" x14ac:dyDescent="0.25">
      <c r="I1054" s="8"/>
      <c r="K1054" s="8"/>
      <c r="L1054" s="8"/>
      <c r="M1054" s="8"/>
      <c r="N1054" s="8"/>
      <c r="O1054" s="8"/>
      <c r="P1054" s="8"/>
      <c r="Q1054" s="8"/>
    </row>
    <row r="1055" spans="9:17" s="1" customFormat="1" x14ac:dyDescent="0.25">
      <c r="I1055" s="8"/>
      <c r="K1055" s="8"/>
      <c r="L1055" s="8"/>
      <c r="M1055" s="8"/>
      <c r="N1055" s="8"/>
      <c r="O1055" s="8"/>
      <c r="P1055" s="8"/>
      <c r="Q1055" s="8"/>
    </row>
    <row r="1056" spans="9:17" s="1" customFormat="1" x14ac:dyDescent="0.25">
      <c r="I1056" s="8"/>
      <c r="K1056" s="8"/>
      <c r="L1056" s="8"/>
      <c r="M1056" s="8"/>
      <c r="N1056" s="8"/>
      <c r="O1056" s="8"/>
      <c r="P1056" s="8"/>
      <c r="Q1056" s="8"/>
    </row>
    <row r="1057" spans="9:17" s="1" customFormat="1" x14ac:dyDescent="0.25">
      <c r="I1057" s="8"/>
      <c r="K1057" s="8"/>
      <c r="L1057" s="8"/>
      <c r="M1057" s="8"/>
      <c r="N1057" s="8"/>
      <c r="O1057" s="8"/>
      <c r="P1057" s="8"/>
      <c r="Q1057" s="8"/>
    </row>
    <row r="1058" spans="9:17" s="1" customFormat="1" x14ac:dyDescent="0.25">
      <c r="I1058" s="8"/>
      <c r="K1058" s="8"/>
      <c r="L1058" s="8"/>
      <c r="M1058" s="8"/>
      <c r="N1058" s="8"/>
      <c r="O1058" s="8"/>
      <c r="P1058" s="8"/>
      <c r="Q1058" s="8"/>
    </row>
    <row r="1059" spans="9:17" s="1" customFormat="1" x14ac:dyDescent="0.25">
      <c r="I1059" s="8"/>
      <c r="K1059" s="8"/>
      <c r="L1059" s="8"/>
      <c r="M1059" s="8"/>
      <c r="N1059" s="8"/>
      <c r="O1059" s="8"/>
      <c r="P1059" s="8"/>
      <c r="Q1059" s="8"/>
    </row>
    <row r="1060" spans="9:17" s="1" customFormat="1" x14ac:dyDescent="0.25">
      <c r="I1060" s="8"/>
      <c r="K1060" s="8"/>
      <c r="L1060" s="8"/>
      <c r="M1060" s="8"/>
      <c r="N1060" s="8"/>
      <c r="O1060" s="8"/>
      <c r="P1060" s="8"/>
      <c r="Q1060" s="8"/>
    </row>
    <row r="1061" spans="9:17" s="1" customFormat="1" x14ac:dyDescent="0.25">
      <c r="I1061" s="8"/>
      <c r="K1061" s="8"/>
      <c r="L1061" s="8"/>
      <c r="M1061" s="8"/>
      <c r="N1061" s="8"/>
      <c r="O1061" s="8"/>
      <c r="P1061" s="8"/>
      <c r="Q1061" s="8"/>
    </row>
    <row r="1062" spans="9:17" s="1" customFormat="1" x14ac:dyDescent="0.25">
      <c r="I1062" s="8"/>
      <c r="K1062" s="8"/>
      <c r="L1062" s="8"/>
      <c r="M1062" s="8"/>
      <c r="N1062" s="8"/>
      <c r="O1062" s="8"/>
      <c r="P1062" s="8"/>
      <c r="Q1062" s="8"/>
    </row>
    <row r="1063" spans="9:17" s="1" customFormat="1" x14ac:dyDescent="0.25">
      <c r="I1063" s="8"/>
      <c r="K1063" s="8"/>
      <c r="L1063" s="8"/>
      <c r="M1063" s="8"/>
      <c r="N1063" s="8"/>
      <c r="O1063" s="8"/>
      <c r="P1063" s="8"/>
      <c r="Q1063" s="8"/>
    </row>
    <row r="1064" spans="9:17" s="1" customFormat="1" x14ac:dyDescent="0.25">
      <c r="I1064" s="8"/>
      <c r="K1064" s="8"/>
      <c r="L1064" s="8"/>
      <c r="M1064" s="8"/>
      <c r="N1064" s="8"/>
      <c r="O1064" s="8"/>
      <c r="P1064" s="8"/>
      <c r="Q1064" s="8"/>
    </row>
    <row r="1065" spans="9:17" s="1" customFormat="1" x14ac:dyDescent="0.25">
      <c r="I1065" s="8"/>
      <c r="K1065" s="8"/>
      <c r="L1065" s="8"/>
      <c r="M1065" s="8"/>
      <c r="N1065" s="8"/>
      <c r="O1065" s="8"/>
      <c r="P1065" s="8"/>
      <c r="Q1065" s="8"/>
    </row>
    <row r="1066" spans="9:17" s="1" customFormat="1" x14ac:dyDescent="0.25">
      <c r="I1066" s="8"/>
      <c r="K1066" s="8"/>
      <c r="L1066" s="8"/>
      <c r="M1066" s="8"/>
      <c r="N1066" s="8"/>
      <c r="O1066" s="8"/>
      <c r="P1066" s="8"/>
      <c r="Q1066" s="8"/>
    </row>
    <row r="1067" spans="9:17" s="1" customFormat="1" x14ac:dyDescent="0.25">
      <c r="I1067" s="8"/>
      <c r="K1067" s="8"/>
      <c r="L1067" s="8"/>
      <c r="M1067" s="8"/>
      <c r="N1067" s="8"/>
      <c r="O1067" s="8"/>
      <c r="P1067" s="8"/>
      <c r="Q1067" s="8"/>
    </row>
    <row r="1068" spans="9:17" s="1" customFormat="1" x14ac:dyDescent="0.25">
      <c r="I1068" s="8"/>
      <c r="K1068" s="8"/>
      <c r="L1068" s="8"/>
      <c r="M1068" s="8"/>
      <c r="N1068" s="8"/>
      <c r="O1068" s="8"/>
      <c r="P1068" s="8"/>
      <c r="Q1068" s="8"/>
    </row>
    <row r="1069" spans="9:17" s="1" customFormat="1" x14ac:dyDescent="0.25">
      <c r="I1069" s="8"/>
      <c r="K1069" s="8"/>
      <c r="L1069" s="8"/>
      <c r="M1069" s="8"/>
      <c r="N1069" s="8"/>
      <c r="O1069" s="8"/>
      <c r="P1069" s="8"/>
      <c r="Q1069" s="8"/>
    </row>
    <row r="1070" spans="9:17" s="1" customFormat="1" x14ac:dyDescent="0.25">
      <c r="I1070" s="8"/>
      <c r="K1070" s="8"/>
      <c r="L1070" s="8"/>
      <c r="M1070" s="8"/>
      <c r="N1070" s="8"/>
      <c r="O1070" s="8"/>
      <c r="P1070" s="8"/>
      <c r="Q1070" s="8"/>
    </row>
    <row r="1071" spans="9:17" s="1" customFormat="1" x14ac:dyDescent="0.25">
      <c r="I1071" s="8"/>
      <c r="K1071" s="8"/>
      <c r="L1071" s="8"/>
      <c r="M1071" s="8"/>
      <c r="N1071" s="8"/>
      <c r="O1071" s="8"/>
      <c r="P1071" s="8"/>
      <c r="Q1071" s="8"/>
    </row>
    <row r="1072" spans="9:17" s="1" customFormat="1" x14ac:dyDescent="0.25">
      <c r="I1072" s="8"/>
      <c r="K1072" s="8"/>
      <c r="L1072" s="8"/>
      <c r="M1072" s="8"/>
      <c r="N1072" s="8"/>
      <c r="O1072" s="8"/>
      <c r="P1072" s="8"/>
      <c r="Q1072" s="8"/>
    </row>
    <row r="1073" spans="9:17" s="1" customFormat="1" x14ac:dyDescent="0.25">
      <c r="I1073" s="8"/>
      <c r="K1073" s="8"/>
      <c r="L1073" s="8"/>
      <c r="M1073" s="8"/>
      <c r="N1073" s="8"/>
      <c r="O1073" s="8"/>
      <c r="P1073" s="8"/>
      <c r="Q1073" s="8"/>
    </row>
    <row r="1074" spans="9:17" s="1" customFormat="1" x14ac:dyDescent="0.25">
      <c r="I1074" s="8"/>
      <c r="K1074" s="8"/>
      <c r="L1074" s="8"/>
      <c r="M1074" s="8"/>
      <c r="N1074" s="8"/>
      <c r="O1074" s="8"/>
      <c r="P1074" s="8"/>
      <c r="Q1074" s="8"/>
    </row>
    <row r="1075" spans="9:17" s="1" customFormat="1" x14ac:dyDescent="0.25">
      <c r="I1075" s="8"/>
      <c r="K1075" s="8"/>
      <c r="L1075" s="8"/>
      <c r="M1075" s="8"/>
      <c r="N1075" s="8"/>
      <c r="O1075" s="8"/>
      <c r="P1075" s="8"/>
      <c r="Q1075" s="8"/>
    </row>
    <row r="1076" spans="9:17" s="1" customFormat="1" x14ac:dyDescent="0.25">
      <c r="I1076" s="8"/>
      <c r="K1076" s="8"/>
      <c r="L1076" s="8"/>
      <c r="M1076" s="8"/>
      <c r="N1076" s="8"/>
      <c r="O1076" s="8"/>
      <c r="P1076" s="8"/>
      <c r="Q1076" s="8"/>
    </row>
    <row r="1077" spans="9:17" s="1" customFormat="1" x14ac:dyDescent="0.25">
      <c r="I1077" s="8"/>
      <c r="K1077" s="8"/>
      <c r="L1077" s="8"/>
      <c r="M1077" s="8"/>
      <c r="N1077" s="8"/>
      <c r="O1077" s="8"/>
      <c r="P1077" s="8"/>
      <c r="Q1077" s="8"/>
    </row>
    <row r="1078" spans="9:17" s="1" customFormat="1" x14ac:dyDescent="0.25">
      <c r="I1078" s="8"/>
      <c r="K1078" s="8"/>
      <c r="L1078" s="8"/>
      <c r="M1078" s="8"/>
      <c r="N1078" s="8"/>
      <c r="O1078" s="8"/>
      <c r="P1078" s="8"/>
      <c r="Q1078" s="8"/>
    </row>
    <row r="1079" spans="9:17" s="1" customFormat="1" x14ac:dyDescent="0.25">
      <c r="I1079" s="8"/>
      <c r="K1079" s="8"/>
      <c r="L1079" s="8"/>
      <c r="M1079" s="8"/>
      <c r="N1079" s="8"/>
      <c r="O1079" s="8"/>
      <c r="P1079" s="8"/>
      <c r="Q1079" s="8"/>
    </row>
    <row r="1080" spans="9:17" s="1" customFormat="1" x14ac:dyDescent="0.25">
      <c r="I1080" s="8"/>
      <c r="K1080" s="8"/>
      <c r="L1080" s="8"/>
      <c r="M1080" s="8"/>
      <c r="N1080" s="8"/>
      <c r="O1080" s="8"/>
      <c r="P1080" s="8"/>
      <c r="Q1080" s="8"/>
    </row>
    <row r="1081" spans="9:17" s="1" customFormat="1" x14ac:dyDescent="0.25">
      <c r="I1081" s="8"/>
      <c r="K1081" s="8"/>
      <c r="L1081" s="8"/>
      <c r="M1081" s="8"/>
      <c r="N1081" s="8"/>
      <c r="O1081" s="8"/>
      <c r="P1081" s="8"/>
      <c r="Q1081" s="8"/>
    </row>
    <row r="1082" spans="9:17" s="1" customFormat="1" x14ac:dyDescent="0.25">
      <c r="I1082" s="8"/>
      <c r="K1082" s="8"/>
      <c r="L1082" s="8"/>
      <c r="M1082" s="8"/>
      <c r="N1082" s="8"/>
      <c r="O1082" s="8"/>
      <c r="P1082" s="8"/>
      <c r="Q1082" s="8"/>
    </row>
    <row r="1083" spans="9:17" s="1" customFormat="1" x14ac:dyDescent="0.25">
      <c r="I1083" s="8"/>
      <c r="K1083" s="8"/>
      <c r="L1083" s="8"/>
      <c r="M1083" s="8"/>
      <c r="N1083" s="8"/>
      <c r="O1083" s="8"/>
      <c r="P1083" s="8"/>
      <c r="Q1083" s="8"/>
    </row>
    <row r="1084" spans="9:17" s="1" customFormat="1" x14ac:dyDescent="0.25">
      <c r="I1084" s="8"/>
      <c r="K1084" s="8"/>
      <c r="L1084" s="8"/>
      <c r="M1084" s="8"/>
      <c r="N1084" s="8"/>
      <c r="O1084" s="8"/>
      <c r="P1084" s="8"/>
      <c r="Q1084" s="8"/>
    </row>
    <row r="1085" spans="9:17" s="1" customFormat="1" x14ac:dyDescent="0.25">
      <c r="I1085" s="8"/>
      <c r="K1085" s="8"/>
      <c r="L1085" s="8"/>
      <c r="M1085" s="8"/>
      <c r="N1085" s="8"/>
      <c r="O1085" s="8"/>
      <c r="P1085" s="8"/>
      <c r="Q1085" s="8"/>
    </row>
    <row r="1086" spans="9:17" s="1" customFormat="1" x14ac:dyDescent="0.25">
      <c r="I1086" s="8"/>
      <c r="K1086" s="8"/>
      <c r="L1086" s="8"/>
      <c r="M1086" s="8"/>
      <c r="N1086" s="8"/>
      <c r="O1086" s="8"/>
      <c r="P1086" s="8"/>
      <c r="Q1086" s="8"/>
    </row>
    <row r="1087" spans="9:17" s="1" customFormat="1" x14ac:dyDescent="0.25">
      <c r="I1087" s="8"/>
      <c r="K1087" s="8"/>
      <c r="L1087" s="8"/>
      <c r="M1087" s="8"/>
      <c r="N1087" s="8"/>
      <c r="O1087" s="8"/>
      <c r="P1087" s="8"/>
      <c r="Q1087" s="8"/>
    </row>
    <row r="1088" spans="9:17" s="1" customFormat="1" x14ac:dyDescent="0.25">
      <c r="I1088" s="8"/>
      <c r="K1088" s="8"/>
      <c r="L1088" s="8"/>
      <c r="M1088" s="8"/>
      <c r="N1088" s="8"/>
      <c r="O1088" s="8"/>
      <c r="P1088" s="8"/>
      <c r="Q1088" s="8"/>
    </row>
    <row r="1089" spans="9:17" s="1" customFormat="1" x14ac:dyDescent="0.25">
      <c r="I1089" s="8"/>
      <c r="K1089" s="8"/>
      <c r="L1089" s="8"/>
      <c r="M1089" s="8"/>
      <c r="N1089" s="8"/>
      <c r="O1089" s="8"/>
      <c r="P1089" s="8"/>
      <c r="Q1089" s="8"/>
    </row>
    <row r="1090" spans="9:17" s="1" customFormat="1" x14ac:dyDescent="0.25">
      <c r="I1090" s="8"/>
      <c r="K1090" s="8"/>
      <c r="L1090" s="8"/>
      <c r="M1090" s="8"/>
      <c r="N1090" s="8"/>
      <c r="O1090" s="8"/>
      <c r="P1090" s="8"/>
      <c r="Q1090" s="8"/>
    </row>
    <row r="1091" spans="9:17" s="1" customFormat="1" x14ac:dyDescent="0.25">
      <c r="I1091" s="8"/>
      <c r="K1091" s="8"/>
      <c r="L1091" s="8"/>
      <c r="M1091" s="8"/>
      <c r="N1091" s="8"/>
      <c r="O1091" s="8"/>
      <c r="P1091" s="8"/>
      <c r="Q1091" s="8"/>
    </row>
    <row r="1092" spans="9:17" s="1" customFormat="1" x14ac:dyDescent="0.25">
      <c r="I1092" s="8"/>
      <c r="K1092" s="8"/>
      <c r="L1092" s="8"/>
      <c r="M1092" s="8"/>
      <c r="N1092" s="8"/>
      <c r="O1092" s="8"/>
      <c r="P1092" s="8"/>
      <c r="Q1092" s="8"/>
    </row>
    <row r="1093" spans="9:17" s="1" customFormat="1" x14ac:dyDescent="0.25">
      <c r="I1093" s="8"/>
      <c r="K1093" s="8"/>
      <c r="L1093" s="8"/>
      <c r="M1093" s="8"/>
      <c r="N1093" s="8"/>
      <c r="O1093" s="8"/>
      <c r="P1093" s="8"/>
      <c r="Q1093" s="8"/>
    </row>
    <row r="1094" spans="9:17" s="1" customFormat="1" x14ac:dyDescent="0.25">
      <c r="I1094" s="8"/>
      <c r="K1094" s="8"/>
      <c r="L1094" s="8"/>
      <c r="M1094" s="8"/>
      <c r="N1094" s="8"/>
      <c r="O1094" s="8"/>
      <c r="P1094" s="8"/>
      <c r="Q1094" s="8"/>
    </row>
    <row r="1095" spans="9:17" s="1" customFormat="1" x14ac:dyDescent="0.25">
      <c r="I1095" s="8"/>
      <c r="K1095" s="8"/>
      <c r="L1095" s="8"/>
      <c r="M1095" s="8"/>
      <c r="N1095" s="8"/>
      <c r="O1095" s="8"/>
      <c r="P1095" s="8"/>
      <c r="Q1095" s="8"/>
    </row>
    <row r="1096" spans="9:17" s="1" customFormat="1" x14ac:dyDescent="0.25">
      <c r="I1096" s="8"/>
      <c r="K1096" s="8"/>
      <c r="L1096" s="8"/>
      <c r="M1096" s="8"/>
      <c r="N1096" s="8"/>
      <c r="O1096" s="8"/>
      <c r="P1096" s="8"/>
      <c r="Q1096" s="8"/>
    </row>
    <row r="1097" spans="9:17" s="1" customFormat="1" x14ac:dyDescent="0.25">
      <c r="I1097" s="8"/>
      <c r="K1097" s="8"/>
      <c r="L1097" s="8"/>
      <c r="M1097" s="8"/>
      <c r="N1097" s="8"/>
      <c r="O1097" s="8"/>
      <c r="P1097" s="8"/>
      <c r="Q1097" s="8"/>
    </row>
    <row r="1098" spans="9:17" s="1" customFormat="1" x14ac:dyDescent="0.25">
      <c r="I1098" s="8"/>
      <c r="K1098" s="8"/>
      <c r="L1098" s="8"/>
      <c r="M1098" s="8"/>
      <c r="N1098" s="8"/>
      <c r="O1098" s="8"/>
      <c r="P1098" s="8"/>
      <c r="Q1098" s="8"/>
    </row>
    <row r="1099" spans="9:17" s="1" customFormat="1" x14ac:dyDescent="0.25">
      <c r="I1099" s="8"/>
      <c r="K1099" s="8"/>
      <c r="L1099" s="8"/>
      <c r="M1099" s="8"/>
      <c r="N1099" s="8"/>
      <c r="O1099" s="8"/>
      <c r="P1099" s="8"/>
      <c r="Q1099" s="8"/>
    </row>
    <row r="1100" spans="9:17" s="1" customFormat="1" x14ac:dyDescent="0.25">
      <c r="I1100" s="8"/>
      <c r="K1100" s="8"/>
      <c r="L1100" s="8"/>
      <c r="M1100" s="8"/>
      <c r="N1100" s="8"/>
      <c r="O1100" s="8"/>
      <c r="P1100" s="8"/>
      <c r="Q1100" s="8"/>
    </row>
    <row r="1101" spans="9:17" s="1" customFormat="1" x14ac:dyDescent="0.25">
      <c r="I1101" s="8"/>
      <c r="K1101" s="8"/>
      <c r="L1101" s="8"/>
      <c r="M1101" s="8"/>
      <c r="N1101" s="8"/>
      <c r="O1101" s="8"/>
      <c r="P1101" s="8"/>
      <c r="Q1101" s="8"/>
    </row>
    <row r="1102" spans="9:17" s="1" customFormat="1" x14ac:dyDescent="0.25">
      <c r="I1102" s="8"/>
      <c r="K1102" s="8"/>
      <c r="L1102" s="8"/>
      <c r="M1102" s="8"/>
      <c r="N1102" s="8"/>
      <c r="O1102" s="8"/>
      <c r="P1102" s="8"/>
      <c r="Q1102" s="8"/>
    </row>
    <row r="1103" spans="9:17" s="1" customFormat="1" x14ac:dyDescent="0.25">
      <c r="I1103" s="8"/>
      <c r="K1103" s="8"/>
      <c r="L1103" s="8"/>
      <c r="M1103" s="8"/>
      <c r="N1103" s="8"/>
      <c r="O1103" s="8"/>
      <c r="P1103" s="8"/>
      <c r="Q1103" s="8"/>
    </row>
    <row r="1104" spans="9:17" s="1" customFormat="1" x14ac:dyDescent="0.25">
      <c r="I1104" s="8"/>
      <c r="K1104" s="8"/>
      <c r="L1104" s="8"/>
      <c r="M1104" s="8"/>
      <c r="N1104" s="8"/>
      <c r="O1104" s="8"/>
      <c r="P1104" s="8"/>
      <c r="Q1104" s="8"/>
    </row>
    <row r="1105" spans="9:17" s="1" customFormat="1" x14ac:dyDescent="0.25">
      <c r="I1105" s="8"/>
      <c r="K1105" s="8"/>
      <c r="L1105" s="8"/>
      <c r="M1105" s="8"/>
      <c r="N1105" s="8"/>
      <c r="O1105" s="8"/>
      <c r="P1105" s="8"/>
      <c r="Q1105" s="8"/>
    </row>
    <row r="1106" spans="9:17" s="1" customFormat="1" x14ac:dyDescent="0.25">
      <c r="I1106" s="8"/>
      <c r="K1106" s="8"/>
      <c r="L1106" s="8"/>
      <c r="M1106" s="8"/>
      <c r="N1106" s="8"/>
      <c r="O1106" s="8"/>
      <c r="P1106" s="8"/>
      <c r="Q1106" s="8"/>
    </row>
    <row r="1107" spans="9:17" s="1" customFormat="1" x14ac:dyDescent="0.25">
      <c r="I1107" s="8"/>
      <c r="K1107" s="8"/>
      <c r="L1107" s="8"/>
      <c r="M1107" s="8"/>
      <c r="N1107" s="8"/>
      <c r="O1107" s="8"/>
      <c r="P1107" s="8"/>
      <c r="Q1107" s="8"/>
    </row>
    <row r="1108" spans="9:17" s="1" customFormat="1" x14ac:dyDescent="0.25">
      <c r="I1108" s="8"/>
      <c r="K1108" s="8"/>
      <c r="L1108" s="8"/>
      <c r="M1108" s="8"/>
      <c r="N1108" s="8"/>
      <c r="O1108" s="8"/>
      <c r="P1108" s="8"/>
      <c r="Q1108" s="8"/>
    </row>
    <row r="1109" spans="9:17" s="1" customFormat="1" x14ac:dyDescent="0.25">
      <c r="I1109" s="8"/>
      <c r="K1109" s="8"/>
      <c r="L1109" s="8"/>
      <c r="M1109" s="8"/>
      <c r="N1109" s="8"/>
      <c r="O1109" s="8"/>
      <c r="P1109" s="8"/>
      <c r="Q1109" s="8"/>
    </row>
    <row r="1110" spans="9:17" s="1" customFormat="1" x14ac:dyDescent="0.25">
      <c r="I1110" s="8"/>
      <c r="K1110" s="8"/>
      <c r="L1110" s="8"/>
      <c r="M1110" s="8"/>
      <c r="N1110" s="8"/>
      <c r="O1110" s="8"/>
      <c r="P1110" s="8"/>
      <c r="Q1110" s="8"/>
    </row>
    <row r="1111" spans="9:17" s="1" customFormat="1" x14ac:dyDescent="0.25">
      <c r="I1111" s="8"/>
      <c r="K1111" s="8"/>
      <c r="L1111" s="8"/>
      <c r="M1111" s="8"/>
      <c r="N1111" s="8"/>
      <c r="O1111" s="8"/>
      <c r="P1111" s="8"/>
      <c r="Q1111" s="8"/>
    </row>
    <row r="1112" spans="9:17" s="1" customFormat="1" x14ac:dyDescent="0.25">
      <c r="I1112" s="8"/>
      <c r="K1112" s="8"/>
      <c r="L1112" s="8"/>
      <c r="M1112" s="8"/>
      <c r="N1112" s="8"/>
      <c r="O1112" s="8"/>
      <c r="P1112" s="8"/>
      <c r="Q1112" s="8"/>
    </row>
    <row r="1113" spans="9:17" s="1" customFormat="1" x14ac:dyDescent="0.25">
      <c r="I1113" s="8"/>
      <c r="K1113" s="8"/>
      <c r="L1113" s="8"/>
      <c r="M1113" s="8"/>
      <c r="N1113" s="8"/>
      <c r="O1113" s="8"/>
      <c r="P1113" s="8"/>
      <c r="Q1113" s="8"/>
    </row>
    <row r="1114" spans="9:17" s="1" customFormat="1" x14ac:dyDescent="0.25">
      <c r="I1114" s="8"/>
      <c r="K1114" s="8"/>
      <c r="L1114" s="8"/>
      <c r="M1114" s="8"/>
      <c r="N1114" s="8"/>
      <c r="O1114" s="8"/>
      <c r="P1114" s="8"/>
      <c r="Q1114" s="8"/>
    </row>
    <row r="1115" spans="9:17" s="1" customFormat="1" x14ac:dyDescent="0.25">
      <c r="I1115" s="8"/>
      <c r="K1115" s="8"/>
      <c r="L1115" s="8"/>
      <c r="M1115" s="8"/>
      <c r="N1115" s="8"/>
      <c r="O1115" s="8"/>
      <c r="P1115" s="8"/>
      <c r="Q1115" s="8"/>
    </row>
    <row r="1116" spans="9:17" s="1" customFormat="1" x14ac:dyDescent="0.25">
      <c r="I1116" s="8"/>
      <c r="K1116" s="8"/>
      <c r="L1116" s="8"/>
      <c r="M1116" s="8"/>
      <c r="N1116" s="8"/>
      <c r="O1116" s="8"/>
      <c r="P1116" s="8"/>
      <c r="Q1116" s="8"/>
    </row>
    <row r="1117" spans="9:17" s="1" customFormat="1" x14ac:dyDescent="0.25">
      <c r="I1117" s="8"/>
      <c r="K1117" s="8"/>
      <c r="L1117" s="8"/>
      <c r="M1117" s="8"/>
      <c r="N1117" s="8"/>
      <c r="O1117" s="8"/>
      <c r="P1117" s="8"/>
      <c r="Q1117" s="8"/>
    </row>
    <row r="1118" spans="9:17" s="1" customFormat="1" x14ac:dyDescent="0.25">
      <c r="I1118" s="8"/>
      <c r="K1118" s="8"/>
      <c r="L1118" s="8"/>
      <c r="M1118" s="8"/>
      <c r="N1118" s="8"/>
      <c r="O1118" s="8"/>
      <c r="P1118" s="8"/>
      <c r="Q1118" s="8"/>
    </row>
    <row r="1119" spans="9:17" s="1" customFormat="1" x14ac:dyDescent="0.25">
      <c r="I1119" s="8"/>
      <c r="K1119" s="8"/>
      <c r="L1119" s="8"/>
      <c r="M1119" s="8"/>
      <c r="N1119" s="8"/>
      <c r="O1119" s="8"/>
      <c r="P1119" s="8"/>
      <c r="Q1119" s="8"/>
    </row>
    <row r="1120" spans="9:17" s="1" customFormat="1" x14ac:dyDescent="0.25">
      <c r="I1120" s="8"/>
      <c r="K1120" s="8"/>
      <c r="L1120" s="8"/>
      <c r="M1120" s="8"/>
      <c r="N1120" s="8"/>
      <c r="O1120" s="8"/>
      <c r="P1120" s="8"/>
      <c r="Q1120" s="8"/>
    </row>
    <row r="1121" spans="9:17" s="1" customFormat="1" x14ac:dyDescent="0.25">
      <c r="I1121" s="8"/>
      <c r="K1121" s="8"/>
      <c r="L1121" s="8"/>
      <c r="M1121" s="8"/>
      <c r="N1121" s="8"/>
      <c r="O1121" s="8"/>
      <c r="P1121" s="8"/>
      <c r="Q1121" s="8"/>
    </row>
    <row r="1122" spans="9:17" s="1" customFormat="1" x14ac:dyDescent="0.25">
      <c r="I1122" s="8"/>
      <c r="K1122" s="8"/>
      <c r="L1122" s="8"/>
      <c r="M1122" s="8"/>
      <c r="N1122" s="8"/>
      <c r="O1122" s="8"/>
      <c r="P1122" s="8"/>
      <c r="Q1122" s="8"/>
    </row>
    <row r="1123" spans="9:17" s="1" customFormat="1" x14ac:dyDescent="0.25">
      <c r="I1123" s="8"/>
      <c r="K1123" s="8"/>
      <c r="L1123" s="8"/>
      <c r="M1123" s="8"/>
      <c r="N1123" s="8"/>
      <c r="O1123" s="8"/>
      <c r="P1123" s="8"/>
      <c r="Q1123" s="8"/>
    </row>
    <row r="1124" spans="9:17" s="1" customFormat="1" x14ac:dyDescent="0.25">
      <c r="I1124" s="8"/>
      <c r="K1124" s="8"/>
      <c r="L1124" s="8"/>
      <c r="M1124" s="8"/>
      <c r="N1124" s="8"/>
      <c r="O1124" s="8"/>
      <c r="P1124" s="8"/>
      <c r="Q1124" s="8"/>
    </row>
    <row r="1125" spans="9:17" s="1" customFormat="1" x14ac:dyDescent="0.25">
      <c r="I1125" s="8"/>
      <c r="K1125" s="8"/>
      <c r="L1125" s="8"/>
      <c r="M1125" s="8"/>
      <c r="N1125" s="8"/>
      <c r="O1125" s="8"/>
      <c r="P1125" s="8"/>
      <c r="Q1125" s="8"/>
    </row>
    <row r="1126" spans="9:17" s="1" customFormat="1" x14ac:dyDescent="0.25">
      <c r="I1126" s="8"/>
      <c r="K1126" s="8"/>
      <c r="L1126" s="8"/>
      <c r="M1126" s="8"/>
      <c r="N1126" s="8"/>
      <c r="O1126" s="8"/>
      <c r="P1126" s="8"/>
      <c r="Q1126" s="8"/>
    </row>
    <row r="1127" spans="9:17" s="1" customFormat="1" x14ac:dyDescent="0.25">
      <c r="I1127" s="8"/>
      <c r="K1127" s="8"/>
      <c r="L1127" s="8"/>
      <c r="M1127" s="8"/>
      <c r="N1127" s="8"/>
      <c r="O1127" s="8"/>
      <c r="P1127" s="8"/>
      <c r="Q1127" s="8"/>
    </row>
    <row r="1128" spans="9:17" s="1" customFormat="1" x14ac:dyDescent="0.25">
      <c r="I1128" s="8"/>
      <c r="K1128" s="8"/>
      <c r="L1128" s="8"/>
      <c r="M1128" s="8"/>
      <c r="N1128" s="8"/>
      <c r="O1128" s="8"/>
      <c r="P1128" s="8"/>
      <c r="Q1128" s="8"/>
    </row>
    <row r="1129" spans="9:17" s="1" customFormat="1" x14ac:dyDescent="0.25">
      <c r="I1129" s="8"/>
      <c r="K1129" s="8"/>
      <c r="L1129" s="8"/>
      <c r="M1129" s="8"/>
      <c r="N1129" s="8"/>
      <c r="O1129" s="8"/>
      <c r="P1129" s="8"/>
      <c r="Q1129" s="8"/>
    </row>
    <row r="1130" spans="9:17" s="1" customFormat="1" x14ac:dyDescent="0.25">
      <c r="I1130" s="8"/>
      <c r="K1130" s="8"/>
      <c r="L1130" s="8"/>
      <c r="M1130" s="8"/>
      <c r="N1130" s="8"/>
      <c r="O1130" s="8"/>
      <c r="P1130" s="8"/>
      <c r="Q1130" s="8"/>
    </row>
    <row r="1131" spans="9:17" s="1" customFormat="1" x14ac:dyDescent="0.25">
      <c r="I1131" s="8"/>
      <c r="K1131" s="8"/>
      <c r="L1131" s="8"/>
      <c r="M1131" s="8"/>
      <c r="N1131" s="8"/>
      <c r="O1131" s="8"/>
      <c r="P1131" s="8"/>
      <c r="Q1131" s="8"/>
    </row>
    <row r="1132" spans="9:17" s="1" customFormat="1" x14ac:dyDescent="0.25">
      <c r="I1132" s="8"/>
      <c r="K1132" s="8"/>
      <c r="L1132" s="8"/>
      <c r="M1132" s="8"/>
      <c r="N1132" s="8"/>
      <c r="O1132" s="8"/>
      <c r="P1132" s="8"/>
      <c r="Q1132" s="8"/>
    </row>
    <row r="1133" spans="9:17" s="1" customFormat="1" x14ac:dyDescent="0.25">
      <c r="I1133" s="8"/>
      <c r="K1133" s="8"/>
      <c r="L1133" s="8"/>
      <c r="M1133" s="8"/>
      <c r="N1133" s="8"/>
      <c r="O1133" s="8"/>
      <c r="P1133" s="8"/>
      <c r="Q1133" s="8"/>
    </row>
    <row r="1134" spans="9:17" s="1" customFormat="1" x14ac:dyDescent="0.25">
      <c r="I1134" s="8"/>
      <c r="K1134" s="8"/>
      <c r="L1134" s="8"/>
      <c r="M1134" s="8"/>
      <c r="N1134" s="8"/>
      <c r="O1134" s="8"/>
      <c r="P1134" s="8"/>
      <c r="Q1134" s="8"/>
    </row>
    <row r="1135" spans="9:17" s="1" customFormat="1" x14ac:dyDescent="0.25">
      <c r="I1135" s="8"/>
      <c r="K1135" s="8"/>
      <c r="L1135" s="8"/>
      <c r="M1135" s="8"/>
      <c r="N1135" s="8"/>
      <c r="O1135" s="8"/>
      <c r="P1135" s="8"/>
      <c r="Q1135" s="8"/>
    </row>
    <row r="1136" spans="9:17" s="1" customFormat="1" x14ac:dyDescent="0.25">
      <c r="I1136" s="8"/>
      <c r="K1136" s="8"/>
      <c r="L1136" s="8"/>
      <c r="M1136" s="8"/>
      <c r="N1136" s="8"/>
      <c r="O1136" s="8"/>
      <c r="P1136" s="8"/>
      <c r="Q1136" s="8"/>
    </row>
    <row r="1137" spans="9:17" s="1" customFormat="1" x14ac:dyDescent="0.25">
      <c r="I1137" s="8"/>
      <c r="K1137" s="8"/>
      <c r="L1137" s="8"/>
      <c r="M1137" s="8"/>
      <c r="N1137" s="8"/>
      <c r="O1137" s="8"/>
      <c r="P1137" s="8"/>
      <c r="Q1137" s="8"/>
    </row>
    <row r="1138" spans="9:17" s="1" customFormat="1" x14ac:dyDescent="0.25">
      <c r="I1138" s="8"/>
      <c r="K1138" s="8"/>
      <c r="L1138" s="8"/>
      <c r="M1138" s="8"/>
      <c r="N1138" s="8"/>
      <c r="O1138" s="8"/>
      <c r="P1138" s="8"/>
      <c r="Q1138" s="8"/>
    </row>
    <row r="1139" spans="9:17" s="1" customFormat="1" x14ac:dyDescent="0.25">
      <c r="I1139" s="8"/>
      <c r="K1139" s="8"/>
      <c r="L1139" s="8"/>
      <c r="M1139" s="8"/>
      <c r="N1139" s="8"/>
      <c r="O1139" s="8"/>
      <c r="P1139" s="8"/>
      <c r="Q1139" s="8"/>
    </row>
    <row r="1140" spans="9:17" s="1" customFormat="1" x14ac:dyDescent="0.25">
      <c r="I1140" s="8"/>
      <c r="K1140" s="8"/>
      <c r="L1140" s="8"/>
      <c r="M1140" s="8"/>
      <c r="N1140" s="8"/>
      <c r="O1140" s="8"/>
      <c r="P1140" s="8"/>
      <c r="Q1140" s="8"/>
    </row>
    <row r="1141" spans="9:17" s="1" customFormat="1" x14ac:dyDescent="0.25">
      <c r="I1141" s="8"/>
      <c r="K1141" s="8"/>
      <c r="L1141" s="8"/>
      <c r="M1141" s="8"/>
      <c r="N1141" s="8"/>
      <c r="O1141" s="8"/>
      <c r="P1141" s="8"/>
      <c r="Q1141" s="8"/>
    </row>
    <row r="1142" spans="9:17" s="1" customFormat="1" x14ac:dyDescent="0.25">
      <c r="I1142" s="8"/>
      <c r="K1142" s="8"/>
      <c r="L1142" s="8"/>
      <c r="M1142" s="8"/>
      <c r="N1142" s="8"/>
      <c r="O1142" s="8"/>
      <c r="P1142" s="8"/>
      <c r="Q1142" s="8"/>
    </row>
    <row r="1143" spans="9:17" s="1" customFormat="1" x14ac:dyDescent="0.25">
      <c r="I1143" s="8"/>
      <c r="K1143" s="8"/>
      <c r="L1143" s="8"/>
      <c r="M1143" s="8"/>
      <c r="N1143" s="8"/>
      <c r="O1143" s="8"/>
      <c r="P1143" s="8"/>
      <c r="Q1143" s="8"/>
    </row>
    <row r="1144" spans="9:17" s="1" customFormat="1" x14ac:dyDescent="0.25">
      <c r="I1144" s="8"/>
      <c r="K1144" s="8"/>
      <c r="L1144" s="8"/>
      <c r="M1144" s="8"/>
      <c r="N1144" s="8"/>
      <c r="O1144" s="8"/>
      <c r="P1144" s="8"/>
      <c r="Q1144" s="8"/>
    </row>
    <row r="1145" spans="9:17" s="1" customFormat="1" x14ac:dyDescent="0.25">
      <c r="I1145" s="8"/>
      <c r="K1145" s="8"/>
      <c r="L1145" s="8"/>
      <c r="M1145" s="8"/>
      <c r="N1145" s="8"/>
      <c r="O1145" s="8"/>
      <c r="P1145" s="8"/>
      <c r="Q1145" s="8"/>
    </row>
    <row r="1146" spans="9:17" s="1" customFormat="1" x14ac:dyDescent="0.25">
      <c r="I1146" s="8"/>
      <c r="K1146" s="8"/>
      <c r="L1146" s="8"/>
      <c r="M1146" s="8"/>
      <c r="N1146" s="8"/>
      <c r="O1146" s="8"/>
      <c r="P1146" s="8"/>
      <c r="Q1146" s="8"/>
    </row>
    <row r="1147" spans="9:17" s="1" customFormat="1" x14ac:dyDescent="0.25">
      <c r="I1147" s="8"/>
      <c r="K1147" s="8"/>
      <c r="L1147" s="8"/>
      <c r="M1147" s="8"/>
      <c r="N1147" s="8"/>
      <c r="O1147" s="8"/>
      <c r="P1147" s="8"/>
      <c r="Q1147" s="8"/>
    </row>
    <row r="1148" spans="9:17" s="1" customFormat="1" x14ac:dyDescent="0.25">
      <c r="I1148" s="8"/>
      <c r="K1148" s="8"/>
      <c r="L1148" s="8"/>
      <c r="M1148" s="8"/>
      <c r="N1148" s="8"/>
      <c r="O1148" s="8"/>
      <c r="P1148" s="8"/>
      <c r="Q1148" s="8"/>
    </row>
    <row r="1149" spans="9:17" s="1" customFormat="1" x14ac:dyDescent="0.25">
      <c r="I1149" s="8"/>
      <c r="K1149" s="8"/>
      <c r="L1149" s="8"/>
      <c r="M1149" s="8"/>
      <c r="N1149" s="8"/>
      <c r="O1149" s="8"/>
      <c r="P1149" s="8"/>
      <c r="Q1149" s="8"/>
    </row>
    <row r="1150" spans="9:17" s="1" customFormat="1" x14ac:dyDescent="0.25">
      <c r="I1150" s="8"/>
      <c r="K1150" s="8"/>
      <c r="L1150" s="8"/>
      <c r="M1150" s="8"/>
      <c r="N1150" s="8"/>
      <c r="O1150" s="8"/>
      <c r="P1150" s="8"/>
      <c r="Q1150" s="8"/>
    </row>
    <row r="1151" spans="9:17" s="1" customFormat="1" x14ac:dyDescent="0.25">
      <c r="I1151" s="8"/>
      <c r="K1151" s="8"/>
      <c r="L1151" s="8"/>
      <c r="M1151" s="8"/>
      <c r="N1151" s="8"/>
      <c r="O1151" s="8"/>
      <c r="P1151" s="8"/>
      <c r="Q1151" s="8"/>
    </row>
    <row r="1152" spans="9:17" s="1" customFormat="1" x14ac:dyDescent="0.25">
      <c r="I1152" s="8"/>
      <c r="K1152" s="8"/>
      <c r="L1152" s="8"/>
      <c r="M1152" s="8"/>
      <c r="N1152" s="8"/>
      <c r="O1152" s="8"/>
      <c r="P1152" s="8"/>
      <c r="Q1152" s="8"/>
    </row>
    <row r="1153" spans="9:17" s="1" customFormat="1" x14ac:dyDescent="0.25">
      <c r="I1153" s="8"/>
      <c r="K1153" s="8"/>
      <c r="L1153" s="8"/>
      <c r="M1153" s="8"/>
      <c r="N1153" s="8"/>
      <c r="O1153" s="8"/>
      <c r="P1153" s="8"/>
      <c r="Q1153" s="8"/>
    </row>
    <row r="1154" spans="9:17" s="1" customFormat="1" x14ac:dyDescent="0.25">
      <c r="I1154" s="8"/>
      <c r="K1154" s="8"/>
      <c r="L1154" s="8"/>
      <c r="M1154" s="8"/>
      <c r="N1154" s="8"/>
      <c r="O1154" s="8"/>
      <c r="P1154" s="8"/>
      <c r="Q1154" s="8"/>
    </row>
    <row r="1155" spans="9:17" s="1" customFormat="1" x14ac:dyDescent="0.25">
      <c r="I1155" s="8"/>
      <c r="K1155" s="8"/>
      <c r="L1155" s="8"/>
      <c r="M1155" s="8"/>
      <c r="N1155" s="8"/>
      <c r="O1155" s="8"/>
      <c r="P1155" s="8"/>
      <c r="Q1155" s="8"/>
    </row>
    <row r="1156" spans="9:17" s="1" customFormat="1" x14ac:dyDescent="0.25">
      <c r="I1156" s="8"/>
      <c r="K1156" s="8"/>
      <c r="L1156" s="8"/>
      <c r="M1156" s="8"/>
      <c r="N1156" s="8"/>
      <c r="O1156" s="8"/>
      <c r="P1156" s="8"/>
      <c r="Q1156" s="8"/>
    </row>
    <row r="1157" spans="9:17" s="1" customFormat="1" x14ac:dyDescent="0.25">
      <c r="I1157" s="8"/>
      <c r="K1157" s="8"/>
      <c r="L1157" s="8"/>
      <c r="M1157" s="8"/>
      <c r="N1157" s="8"/>
      <c r="O1157" s="8"/>
      <c r="P1157" s="8"/>
      <c r="Q1157" s="8"/>
    </row>
    <row r="1158" spans="9:17" s="1" customFormat="1" x14ac:dyDescent="0.25">
      <c r="I1158" s="8"/>
      <c r="K1158" s="8"/>
      <c r="L1158" s="8"/>
      <c r="M1158" s="8"/>
      <c r="N1158" s="8"/>
      <c r="O1158" s="8"/>
      <c r="P1158" s="8"/>
      <c r="Q1158" s="8"/>
    </row>
    <row r="1159" spans="9:17" s="1" customFormat="1" x14ac:dyDescent="0.25">
      <c r="I1159" s="8"/>
      <c r="K1159" s="8"/>
      <c r="L1159" s="8"/>
      <c r="M1159" s="8"/>
      <c r="N1159" s="8"/>
      <c r="O1159" s="8"/>
      <c r="P1159" s="8"/>
      <c r="Q1159" s="8"/>
    </row>
    <row r="1160" spans="9:17" s="1" customFormat="1" x14ac:dyDescent="0.25">
      <c r="I1160" s="8"/>
      <c r="K1160" s="8"/>
      <c r="L1160" s="8"/>
      <c r="M1160" s="8"/>
      <c r="N1160" s="8"/>
      <c r="O1160" s="8"/>
      <c r="P1160" s="8"/>
      <c r="Q1160" s="8"/>
    </row>
    <row r="1161" spans="9:17" s="1" customFormat="1" x14ac:dyDescent="0.25">
      <c r="I1161" s="8"/>
      <c r="K1161" s="8"/>
      <c r="L1161" s="8"/>
      <c r="M1161" s="8"/>
      <c r="N1161" s="8"/>
      <c r="O1161" s="8"/>
      <c r="P1161" s="8"/>
      <c r="Q1161" s="8"/>
    </row>
    <row r="1162" spans="9:17" s="1" customFormat="1" x14ac:dyDescent="0.25">
      <c r="I1162" s="8"/>
      <c r="K1162" s="8"/>
      <c r="L1162" s="8"/>
      <c r="M1162" s="8"/>
      <c r="N1162" s="8"/>
      <c r="O1162" s="8"/>
      <c r="P1162" s="8"/>
      <c r="Q1162" s="8"/>
    </row>
    <row r="1163" spans="9:17" s="1" customFormat="1" x14ac:dyDescent="0.25">
      <c r="I1163" s="8"/>
      <c r="K1163" s="8"/>
      <c r="L1163" s="8"/>
      <c r="M1163" s="8"/>
      <c r="N1163" s="8"/>
      <c r="O1163" s="8"/>
      <c r="P1163" s="8"/>
      <c r="Q1163" s="8"/>
    </row>
    <row r="1164" spans="9:17" s="1" customFormat="1" x14ac:dyDescent="0.25">
      <c r="I1164" s="8"/>
      <c r="K1164" s="8"/>
      <c r="L1164" s="8"/>
      <c r="M1164" s="8"/>
      <c r="N1164" s="8"/>
      <c r="O1164" s="8"/>
      <c r="P1164" s="8"/>
      <c r="Q1164" s="8"/>
    </row>
    <row r="1165" spans="9:17" s="1" customFormat="1" x14ac:dyDescent="0.25">
      <c r="I1165" s="8"/>
      <c r="K1165" s="8"/>
      <c r="L1165" s="8"/>
      <c r="M1165" s="8"/>
      <c r="N1165" s="8"/>
      <c r="O1165" s="8"/>
      <c r="P1165" s="8"/>
      <c r="Q1165" s="8"/>
    </row>
    <row r="1166" spans="9:17" s="1" customFormat="1" x14ac:dyDescent="0.25">
      <c r="I1166" s="8"/>
      <c r="K1166" s="8"/>
      <c r="L1166" s="8"/>
      <c r="M1166" s="8"/>
      <c r="N1166" s="8"/>
      <c r="O1166" s="8"/>
      <c r="P1166" s="8"/>
      <c r="Q1166" s="8"/>
    </row>
    <row r="1167" spans="9:17" s="1" customFormat="1" x14ac:dyDescent="0.25">
      <c r="I1167" s="8"/>
      <c r="K1167" s="8"/>
      <c r="L1167" s="8"/>
      <c r="M1167" s="8"/>
      <c r="N1167" s="8"/>
      <c r="O1167" s="8"/>
      <c r="P1167" s="8"/>
      <c r="Q1167" s="8"/>
    </row>
    <row r="1168" spans="9:17" s="1" customFormat="1" x14ac:dyDescent="0.25">
      <c r="I1168" s="8"/>
      <c r="K1168" s="8"/>
      <c r="L1168" s="8"/>
      <c r="M1168" s="8"/>
      <c r="N1168" s="8"/>
      <c r="O1168" s="8"/>
      <c r="P1168" s="8"/>
      <c r="Q1168" s="8"/>
    </row>
    <row r="1169" spans="9:17" s="1" customFormat="1" x14ac:dyDescent="0.25">
      <c r="I1169" s="8"/>
      <c r="K1169" s="8"/>
      <c r="L1169" s="8"/>
      <c r="M1169" s="8"/>
      <c r="N1169" s="8"/>
      <c r="O1169" s="8"/>
      <c r="P1169" s="8"/>
      <c r="Q1169" s="8"/>
    </row>
    <row r="1170" spans="9:17" s="1" customFormat="1" x14ac:dyDescent="0.25">
      <c r="I1170" s="8"/>
      <c r="K1170" s="8"/>
      <c r="L1170" s="8"/>
      <c r="M1170" s="8"/>
      <c r="N1170" s="8"/>
      <c r="O1170" s="8"/>
      <c r="P1170" s="8"/>
      <c r="Q1170" s="8"/>
    </row>
    <row r="1171" spans="9:17" s="1" customFormat="1" x14ac:dyDescent="0.25">
      <c r="I1171" s="8"/>
      <c r="K1171" s="8"/>
      <c r="L1171" s="8"/>
      <c r="M1171" s="8"/>
      <c r="N1171" s="8"/>
      <c r="O1171" s="8"/>
      <c r="P1171" s="8"/>
      <c r="Q1171" s="8"/>
    </row>
    <row r="1172" spans="9:17" s="1" customFormat="1" x14ac:dyDescent="0.25">
      <c r="I1172" s="8"/>
      <c r="K1172" s="8"/>
      <c r="L1172" s="8"/>
      <c r="M1172" s="8"/>
      <c r="N1172" s="8"/>
      <c r="O1172" s="8"/>
      <c r="P1172" s="8"/>
      <c r="Q1172" s="8"/>
    </row>
    <row r="1173" spans="9:17" s="1" customFormat="1" x14ac:dyDescent="0.25">
      <c r="I1173" s="8"/>
      <c r="K1173" s="8"/>
      <c r="L1173" s="8"/>
      <c r="M1173" s="8"/>
      <c r="N1173" s="8"/>
      <c r="O1173" s="8"/>
      <c r="P1173" s="8"/>
      <c r="Q1173" s="8"/>
    </row>
    <row r="1174" spans="9:17" s="1" customFormat="1" x14ac:dyDescent="0.25">
      <c r="I1174" s="8"/>
      <c r="K1174" s="8"/>
      <c r="L1174" s="8"/>
      <c r="M1174" s="8"/>
      <c r="N1174" s="8"/>
      <c r="O1174" s="8"/>
      <c r="P1174" s="8"/>
      <c r="Q1174" s="8"/>
    </row>
    <row r="1175" spans="9:17" s="1" customFormat="1" x14ac:dyDescent="0.25">
      <c r="I1175" s="8"/>
      <c r="K1175" s="8"/>
      <c r="L1175" s="8"/>
      <c r="M1175" s="8"/>
      <c r="N1175" s="8"/>
      <c r="O1175" s="8"/>
      <c r="P1175" s="8"/>
      <c r="Q1175" s="8"/>
    </row>
    <row r="1176" spans="9:17" s="1" customFormat="1" x14ac:dyDescent="0.25">
      <c r="I1176" s="8"/>
      <c r="K1176" s="8"/>
      <c r="L1176" s="8"/>
      <c r="M1176" s="8"/>
      <c r="N1176" s="8"/>
      <c r="O1176" s="8"/>
      <c r="P1176" s="8"/>
      <c r="Q1176" s="8"/>
    </row>
    <row r="1177" spans="9:17" s="1" customFormat="1" x14ac:dyDescent="0.25">
      <c r="I1177" s="8"/>
      <c r="K1177" s="8"/>
      <c r="L1177" s="8"/>
      <c r="M1177" s="8"/>
      <c r="N1177" s="8"/>
      <c r="O1177" s="8"/>
      <c r="P1177" s="8"/>
      <c r="Q1177" s="8"/>
    </row>
    <row r="1178" spans="9:17" s="1" customFormat="1" x14ac:dyDescent="0.25">
      <c r="I1178" s="8"/>
      <c r="K1178" s="8"/>
      <c r="L1178" s="8"/>
      <c r="M1178" s="8"/>
      <c r="N1178" s="8"/>
      <c r="O1178" s="8"/>
      <c r="P1178" s="8"/>
      <c r="Q1178" s="8"/>
    </row>
    <row r="1179" spans="9:17" s="1" customFormat="1" x14ac:dyDescent="0.25">
      <c r="I1179" s="8"/>
      <c r="K1179" s="8"/>
      <c r="L1179" s="8"/>
      <c r="M1179" s="8"/>
      <c r="N1179" s="8"/>
      <c r="O1179" s="8"/>
      <c r="P1179" s="8"/>
      <c r="Q1179" s="8"/>
    </row>
    <row r="1180" spans="9:17" s="1" customFormat="1" x14ac:dyDescent="0.25">
      <c r="I1180" s="8"/>
      <c r="K1180" s="8"/>
      <c r="L1180" s="8"/>
      <c r="M1180" s="8"/>
      <c r="N1180" s="8"/>
      <c r="O1180" s="8"/>
      <c r="P1180" s="8"/>
      <c r="Q1180" s="8"/>
    </row>
    <row r="1181" spans="9:17" s="1" customFormat="1" x14ac:dyDescent="0.25">
      <c r="I1181" s="8"/>
      <c r="K1181" s="8"/>
      <c r="L1181" s="8"/>
      <c r="M1181" s="8"/>
      <c r="N1181" s="8"/>
      <c r="O1181" s="8"/>
      <c r="P1181" s="8"/>
      <c r="Q1181" s="8"/>
    </row>
    <row r="1182" spans="9:17" s="1" customFormat="1" x14ac:dyDescent="0.25">
      <c r="I1182" s="8"/>
      <c r="K1182" s="8"/>
      <c r="L1182" s="8"/>
      <c r="M1182" s="8"/>
      <c r="N1182" s="8"/>
      <c r="O1182" s="8"/>
      <c r="P1182" s="8"/>
      <c r="Q1182" s="8"/>
    </row>
    <row r="1183" spans="9:17" s="1" customFormat="1" x14ac:dyDescent="0.25">
      <c r="I1183" s="8"/>
      <c r="K1183" s="8"/>
      <c r="L1183" s="8"/>
      <c r="M1183" s="8"/>
      <c r="N1183" s="8"/>
      <c r="O1183" s="8"/>
      <c r="P1183" s="8"/>
      <c r="Q1183" s="8"/>
    </row>
    <row r="1184" spans="9:17" s="1" customFormat="1" x14ac:dyDescent="0.25">
      <c r="I1184" s="8"/>
      <c r="K1184" s="8"/>
      <c r="L1184" s="8"/>
      <c r="M1184" s="8"/>
      <c r="N1184" s="8"/>
      <c r="O1184" s="8"/>
      <c r="P1184" s="8"/>
      <c r="Q1184" s="8"/>
    </row>
    <row r="1185" spans="9:17" s="1" customFormat="1" x14ac:dyDescent="0.25">
      <c r="I1185" s="8"/>
      <c r="K1185" s="8"/>
      <c r="L1185" s="8"/>
      <c r="M1185" s="8"/>
      <c r="N1185" s="8"/>
      <c r="O1185" s="8"/>
      <c r="P1185" s="8"/>
      <c r="Q1185" s="8"/>
    </row>
    <row r="1186" spans="9:17" s="1" customFormat="1" x14ac:dyDescent="0.25">
      <c r="I1186" s="8"/>
      <c r="K1186" s="8"/>
      <c r="L1186" s="8"/>
      <c r="M1186" s="8"/>
      <c r="N1186" s="8"/>
      <c r="O1186" s="8"/>
      <c r="P1186" s="8"/>
      <c r="Q1186" s="8"/>
    </row>
    <row r="1187" spans="9:17" s="1" customFormat="1" x14ac:dyDescent="0.25">
      <c r="I1187" s="8"/>
      <c r="K1187" s="8"/>
      <c r="L1187" s="8"/>
      <c r="M1187" s="8"/>
      <c r="N1187" s="8"/>
      <c r="O1187" s="8"/>
      <c r="P1187" s="8"/>
      <c r="Q1187" s="8"/>
    </row>
    <row r="1188" spans="9:17" s="1" customFormat="1" x14ac:dyDescent="0.25">
      <c r="I1188" s="8"/>
      <c r="K1188" s="8"/>
      <c r="L1188" s="8"/>
      <c r="M1188" s="8"/>
      <c r="N1188" s="8"/>
      <c r="O1188" s="8"/>
      <c r="P1188" s="8"/>
      <c r="Q1188" s="8"/>
    </row>
    <row r="1189" spans="9:17" s="1" customFormat="1" x14ac:dyDescent="0.25">
      <c r="I1189" s="8"/>
      <c r="K1189" s="8"/>
      <c r="L1189" s="8"/>
      <c r="M1189" s="8"/>
      <c r="N1189" s="8"/>
      <c r="O1189" s="8"/>
      <c r="P1189" s="8"/>
      <c r="Q1189" s="8"/>
    </row>
    <row r="1190" spans="9:17" s="1" customFormat="1" x14ac:dyDescent="0.25">
      <c r="I1190" s="8"/>
      <c r="K1190" s="8"/>
      <c r="L1190" s="8"/>
      <c r="M1190" s="8"/>
      <c r="N1190" s="8"/>
      <c r="O1190" s="8"/>
      <c r="P1190" s="8"/>
      <c r="Q1190" s="8"/>
    </row>
    <row r="1191" spans="9:17" s="1" customFormat="1" x14ac:dyDescent="0.25">
      <c r="I1191" s="8"/>
      <c r="K1191" s="8"/>
      <c r="L1191" s="8"/>
      <c r="M1191" s="8"/>
      <c r="N1191" s="8"/>
      <c r="O1191" s="8"/>
      <c r="P1191" s="8"/>
      <c r="Q1191" s="8"/>
    </row>
    <row r="1192" spans="9:17" s="1" customFormat="1" x14ac:dyDescent="0.25">
      <c r="I1192" s="8"/>
      <c r="K1192" s="8"/>
      <c r="L1192" s="8"/>
      <c r="M1192" s="8"/>
      <c r="N1192" s="8"/>
      <c r="O1192" s="8"/>
      <c r="P1192" s="8"/>
      <c r="Q1192" s="8"/>
    </row>
    <row r="1193" spans="9:17" s="1" customFormat="1" x14ac:dyDescent="0.25">
      <c r="I1193" s="8"/>
      <c r="K1193" s="8"/>
      <c r="L1193" s="8"/>
      <c r="M1193" s="8"/>
      <c r="N1193" s="8"/>
      <c r="O1193" s="8"/>
      <c r="P1193" s="8"/>
      <c r="Q1193" s="8"/>
    </row>
    <row r="1194" spans="9:17" s="1" customFormat="1" x14ac:dyDescent="0.25">
      <c r="I1194" s="8"/>
      <c r="K1194" s="8"/>
      <c r="L1194" s="8"/>
      <c r="M1194" s="8"/>
      <c r="N1194" s="8"/>
      <c r="O1194" s="8"/>
      <c r="P1194" s="8"/>
      <c r="Q1194" s="8"/>
    </row>
    <row r="1195" spans="9:17" s="1" customFormat="1" x14ac:dyDescent="0.25">
      <c r="I1195" s="8"/>
      <c r="K1195" s="8"/>
      <c r="L1195" s="8"/>
      <c r="M1195" s="8"/>
      <c r="N1195" s="8"/>
      <c r="O1195" s="8"/>
      <c r="P1195" s="8"/>
      <c r="Q1195" s="8"/>
    </row>
    <row r="1196" spans="9:17" s="1" customFormat="1" x14ac:dyDescent="0.25">
      <c r="I1196" s="8"/>
      <c r="K1196" s="8"/>
      <c r="L1196" s="8"/>
      <c r="M1196" s="8"/>
      <c r="N1196" s="8"/>
      <c r="O1196" s="8"/>
      <c r="P1196" s="8"/>
      <c r="Q1196" s="8"/>
    </row>
    <row r="1197" spans="9:17" s="1" customFormat="1" x14ac:dyDescent="0.25">
      <c r="I1197" s="8"/>
      <c r="K1197" s="8"/>
      <c r="L1197" s="8"/>
      <c r="M1197" s="8"/>
      <c r="N1197" s="8"/>
      <c r="O1197" s="8"/>
      <c r="P1197" s="8"/>
      <c r="Q1197" s="8"/>
    </row>
    <row r="1198" spans="9:17" s="1" customFormat="1" x14ac:dyDescent="0.25">
      <c r="I1198" s="8"/>
      <c r="K1198" s="8"/>
      <c r="L1198" s="8"/>
      <c r="M1198" s="8"/>
      <c r="N1198" s="8"/>
      <c r="O1198" s="8"/>
      <c r="P1198" s="8"/>
      <c r="Q1198" s="8"/>
    </row>
    <row r="1199" spans="9:17" s="1" customFormat="1" x14ac:dyDescent="0.25">
      <c r="I1199" s="8"/>
      <c r="K1199" s="8"/>
      <c r="L1199" s="8"/>
      <c r="M1199" s="8"/>
      <c r="N1199" s="8"/>
      <c r="O1199" s="8"/>
      <c r="P1199" s="8"/>
      <c r="Q1199" s="8"/>
    </row>
    <row r="1200" spans="9:17" s="1" customFormat="1" x14ac:dyDescent="0.25">
      <c r="I1200" s="8"/>
      <c r="K1200" s="8"/>
      <c r="L1200" s="8"/>
      <c r="M1200" s="8"/>
      <c r="N1200" s="8"/>
      <c r="O1200" s="8"/>
      <c r="P1200" s="8"/>
      <c r="Q1200" s="8"/>
    </row>
    <row r="1201" spans="9:17" s="1" customFormat="1" x14ac:dyDescent="0.25">
      <c r="I1201" s="8"/>
      <c r="K1201" s="8"/>
      <c r="L1201" s="8"/>
      <c r="M1201" s="8"/>
      <c r="N1201" s="8"/>
      <c r="O1201" s="8"/>
      <c r="P1201" s="8"/>
      <c r="Q1201" s="8"/>
    </row>
    <row r="1202" spans="9:17" s="1" customFormat="1" x14ac:dyDescent="0.25">
      <c r="I1202" s="8"/>
      <c r="K1202" s="8"/>
      <c r="L1202" s="8"/>
      <c r="M1202" s="8"/>
      <c r="N1202" s="8"/>
      <c r="O1202" s="8"/>
      <c r="P1202" s="8"/>
      <c r="Q1202" s="8"/>
    </row>
    <row r="1203" spans="9:17" s="1" customFormat="1" x14ac:dyDescent="0.25">
      <c r="I1203" s="8"/>
      <c r="K1203" s="8"/>
      <c r="L1203" s="8"/>
      <c r="M1203" s="8"/>
      <c r="N1203" s="8"/>
      <c r="O1203" s="8"/>
      <c r="P1203" s="8"/>
      <c r="Q1203" s="8"/>
    </row>
    <row r="1204" spans="9:17" s="1" customFormat="1" x14ac:dyDescent="0.25">
      <c r="I1204" s="8"/>
      <c r="K1204" s="8"/>
      <c r="L1204" s="8"/>
      <c r="M1204" s="8"/>
      <c r="N1204" s="8"/>
      <c r="O1204" s="8"/>
      <c r="P1204" s="8"/>
      <c r="Q1204" s="8"/>
    </row>
    <row r="1205" spans="9:17" s="1" customFormat="1" x14ac:dyDescent="0.25">
      <c r="I1205" s="8"/>
      <c r="K1205" s="8"/>
      <c r="L1205" s="8"/>
      <c r="M1205" s="8"/>
      <c r="N1205" s="8"/>
      <c r="O1205" s="8"/>
      <c r="P1205" s="8"/>
      <c r="Q1205" s="8"/>
    </row>
    <row r="1206" spans="9:17" s="1" customFormat="1" x14ac:dyDescent="0.25">
      <c r="I1206" s="8"/>
      <c r="K1206" s="8"/>
      <c r="L1206" s="8"/>
      <c r="M1206" s="8"/>
      <c r="N1206" s="8"/>
      <c r="O1206" s="8"/>
      <c r="P1206" s="8"/>
      <c r="Q1206" s="8"/>
    </row>
    <row r="1207" spans="9:17" s="1" customFormat="1" x14ac:dyDescent="0.25">
      <c r="I1207" s="8"/>
      <c r="K1207" s="8"/>
      <c r="L1207" s="8"/>
      <c r="M1207" s="8"/>
      <c r="N1207" s="8"/>
      <c r="O1207" s="8"/>
      <c r="P1207" s="8"/>
      <c r="Q1207" s="8"/>
    </row>
    <row r="1208" spans="9:17" s="1" customFormat="1" x14ac:dyDescent="0.25">
      <c r="I1208" s="8"/>
      <c r="K1208" s="8"/>
      <c r="L1208" s="8"/>
      <c r="M1208" s="8"/>
      <c r="N1208" s="8"/>
      <c r="O1208" s="8"/>
      <c r="P1208" s="8"/>
      <c r="Q1208" s="8"/>
    </row>
    <row r="1209" spans="9:17" s="1" customFormat="1" x14ac:dyDescent="0.25">
      <c r="I1209" s="8"/>
      <c r="K1209" s="8"/>
      <c r="L1209" s="8"/>
      <c r="M1209" s="8"/>
      <c r="N1209" s="8"/>
      <c r="O1209" s="8"/>
      <c r="P1209" s="8"/>
      <c r="Q1209" s="8"/>
    </row>
    <row r="1210" spans="9:17" s="1" customFormat="1" x14ac:dyDescent="0.25">
      <c r="I1210" s="8"/>
      <c r="K1210" s="8"/>
      <c r="L1210" s="8"/>
      <c r="M1210" s="8"/>
      <c r="N1210" s="8"/>
      <c r="O1210" s="8"/>
      <c r="P1210" s="8"/>
      <c r="Q1210" s="8"/>
    </row>
    <row r="1211" spans="9:17" s="1" customFormat="1" x14ac:dyDescent="0.25">
      <c r="I1211" s="8"/>
      <c r="K1211" s="8"/>
      <c r="L1211" s="8"/>
      <c r="M1211" s="8"/>
      <c r="N1211" s="8"/>
      <c r="O1211" s="8"/>
      <c r="P1211" s="8"/>
      <c r="Q1211" s="8"/>
    </row>
    <row r="1212" spans="9:17" s="1" customFormat="1" x14ac:dyDescent="0.25">
      <c r="I1212" s="8"/>
      <c r="K1212" s="8"/>
      <c r="L1212" s="8"/>
      <c r="M1212" s="8"/>
      <c r="N1212" s="8"/>
      <c r="O1212" s="8"/>
      <c r="P1212" s="8"/>
      <c r="Q1212" s="8"/>
    </row>
    <row r="1213" spans="9:17" s="1" customFormat="1" x14ac:dyDescent="0.25">
      <c r="I1213" s="8"/>
      <c r="K1213" s="8"/>
      <c r="L1213" s="8"/>
      <c r="M1213" s="8"/>
      <c r="N1213" s="8"/>
      <c r="O1213" s="8"/>
      <c r="P1213" s="8"/>
      <c r="Q1213" s="8"/>
    </row>
    <row r="1214" spans="9:17" s="1" customFormat="1" x14ac:dyDescent="0.25">
      <c r="I1214" s="8"/>
      <c r="K1214" s="8"/>
      <c r="L1214" s="8"/>
      <c r="M1214" s="8"/>
      <c r="N1214" s="8"/>
      <c r="O1214" s="8"/>
      <c r="P1214" s="8"/>
      <c r="Q1214" s="8"/>
    </row>
    <row r="1215" spans="9:17" s="1" customFormat="1" x14ac:dyDescent="0.25">
      <c r="I1215" s="8"/>
      <c r="K1215" s="8"/>
      <c r="L1215" s="8"/>
      <c r="M1215" s="8"/>
      <c r="N1215" s="8"/>
      <c r="O1215" s="8"/>
      <c r="P1215" s="8"/>
      <c r="Q1215" s="8"/>
    </row>
    <row r="1216" spans="9:17" s="1" customFormat="1" x14ac:dyDescent="0.25">
      <c r="I1216" s="8"/>
      <c r="K1216" s="8"/>
      <c r="L1216" s="8"/>
      <c r="M1216" s="8"/>
      <c r="N1216" s="8"/>
      <c r="O1216" s="8"/>
      <c r="P1216" s="8"/>
      <c r="Q1216" s="8"/>
    </row>
    <row r="1217" spans="9:17" s="1" customFormat="1" x14ac:dyDescent="0.25">
      <c r="I1217" s="8"/>
      <c r="K1217" s="8"/>
      <c r="L1217" s="8"/>
      <c r="M1217" s="8"/>
      <c r="N1217" s="8"/>
      <c r="O1217" s="8"/>
      <c r="P1217" s="8"/>
      <c r="Q1217" s="8"/>
    </row>
    <row r="1218" spans="9:17" s="1" customFormat="1" x14ac:dyDescent="0.25">
      <c r="I1218" s="8"/>
      <c r="K1218" s="8"/>
      <c r="L1218" s="8"/>
      <c r="M1218" s="8"/>
      <c r="N1218" s="8"/>
      <c r="O1218" s="8"/>
      <c r="P1218" s="8"/>
      <c r="Q1218" s="8"/>
    </row>
    <row r="1219" spans="9:17" s="1" customFormat="1" x14ac:dyDescent="0.25">
      <c r="I1219" s="8"/>
      <c r="K1219" s="8"/>
      <c r="L1219" s="8"/>
      <c r="M1219" s="8"/>
      <c r="N1219" s="8"/>
      <c r="O1219" s="8"/>
      <c r="P1219" s="8"/>
      <c r="Q1219" s="8"/>
    </row>
    <row r="1220" spans="9:17" s="1" customFormat="1" x14ac:dyDescent="0.25">
      <c r="I1220" s="8"/>
      <c r="K1220" s="8"/>
      <c r="L1220" s="8"/>
      <c r="M1220" s="8"/>
      <c r="N1220" s="8"/>
      <c r="O1220" s="8"/>
      <c r="P1220" s="8"/>
      <c r="Q1220" s="8"/>
    </row>
    <row r="1221" spans="9:17" s="1" customFormat="1" x14ac:dyDescent="0.25">
      <c r="I1221" s="8"/>
      <c r="K1221" s="8"/>
      <c r="L1221" s="8"/>
      <c r="M1221" s="8"/>
      <c r="N1221" s="8"/>
      <c r="O1221" s="8"/>
      <c r="P1221" s="8"/>
      <c r="Q1221" s="8"/>
    </row>
    <row r="1222" spans="9:17" s="1" customFormat="1" x14ac:dyDescent="0.25">
      <c r="I1222" s="8"/>
      <c r="K1222" s="8"/>
      <c r="L1222" s="8"/>
      <c r="M1222" s="8"/>
      <c r="N1222" s="8"/>
      <c r="O1222" s="8"/>
      <c r="P1222" s="8"/>
      <c r="Q1222" s="8"/>
    </row>
    <row r="1223" spans="9:17" s="1" customFormat="1" x14ac:dyDescent="0.25">
      <c r="I1223" s="8"/>
      <c r="K1223" s="8"/>
      <c r="L1223" s="8"/>
      <c r="M1223" s="8"/>
      <c r="N1223" s="8"/>
      <c r="O1223" s="8"/>
      <c r="P1223" s="8"/>
      <c r="Q1223" s="8"/>
    </row>
    <row r="1224" spans="9:17" s="1" customFormat="1" x14ac:dyDescent="0.25">
      <c r="I1224" s="8"/>
      <c r="K1224" s="8"/>
      <c r="L1224" s="8"/>
      <c r="M1224" s="8"/>
      <c r="N1224" s="8"/>
      <c r="O1224" s="8"/>
      <c r="P1224" s="8"/>
      <c r="Q1224" s="8"/>
    </row>
    <row r="1225" spans="9:17" s="1" customFormat="1" x14ac:dyDescent="0.25">
      <c r="I1225" s="8"/>
      <c r="K1225" s="8"/>
      <c r="L1225" s="8"/>
      <c r="M1225" s="8"/>
      <c r="N1225" s="8"/>
      <c r="O1225" s="8"/>
      <c r="P1225" s="8"/>
      <c r="Q1225" s="8"/>
    </row>
    <row r="1226" spans="9:17" s="1" customFormat="1" x14ac:dyDescent="0.25">
      <c r="I1226" s="8"/>
      <c r="K1226" s="8"/>
      <c r="L1226" s="8"/>
      <c r="M1226" s="8"/>
      <c r="N1226" s="8"/>
      <c r="O1226" s="8"/>
      <c r="P1226" s="8"/>
      <c r="Q1226" s="8"/>
    </row>
    <row r="1227" spans="9:17" s="1" customFormat="1" x14ac:dyDescent="0.25">
      <c r="I1227" s="8"/>
      <c r="K1227" s="8"/>
      <c r="L1227" s="8"/>
      <c r="M1227" s="8"/>
      <c r="N1227" s="8"/>
      <c r="O1227" s="8"/>
      <c r="P1227" s="8"/>
      <c r="Q1227" s="8"/>
    </row>
    <row r="1228" spans="9:17" s="1" customFormat="1" x14ac:dyDescent="0.25">
      <c r="I1228" s="8"/>
      <c r="K1228" s="8"/>
      <c r="L1228" s="8"/>
      <c r="M1228" s="8"/>
      <c r="N1228" s="8"/>
      <c r="O1228" s="8"/>
      <c r="P1228" s="8"/>
      <c r="Q1228" s="8"/>
    </row>
    <row r="1229" spans="9:17" s="1" customFormat="1" x14ac:dyDescent="0.25">
      <c r="I1229" s="8"/>
      <c r="K1229" s="8"/>
      <c r="L1229" s="8"/>
      <c r="M1229" s="8"/>
      <c r="N1229" s="8"/>
      <c r="O1229" s="8"/>
      <c r="P1229" s="8"/>
      <c r="Q1229" s="8"/>
    </row>
    <row r="1230" spans="9:17" s="1" customFormat="1" x14ac:dyDescent="0.25">
      <c r="I1230" s="8"/>
      <c r="K1230" s="8"/>
      <c r="L1230" s="8"/>
      <c r="M1230" s="8"/>
      <c r="N1230" s="8"/>
      <c r="O1230" s="8"/>
      <c r="P1230" s="8"/>
      <c r="Q1230" s="8"/>
    </row>
    <row r="1231" spans="9:17" s="1" customFormat="1" x14ac:dyDescent="0.25">
      <c r="I1231" s="8"/>
      <c r="K1231" s="8"/>
      <c r="L1231" s="8"/>
      <c r="M1231" s="8"/>
      <c r="N1231" s="8"/>
      <c r="O1231" s="8"/>
      <c r="P1231" s="8"/>
      <c r="Q1231" s="8"/>
    </row>
    <row r="1232" spans="9:17" s="1" customFormat="1" x14ac:dyDescent="0.25">
      <c r="I1232" s="8"/>
      <c r="K1232" s="8"/>
      <c r="L1232" s="8"/>
      <c r="M1232" s="8"/>
      <c r="N1232" s="8"/>
      <c r="O1232" s="8"/>
      <c r="P1232" s="8"/>
      <c r="Q1232" s="8"/>
    </row>
    <row r="1233" spans="9:17" s="1" customFormat="1" x14ac:dyDescent="0.25">
      <c r="I1233" s="8"/>
      <c r="K1233" s="8"/>
      <c r="L1233" s="8"/>
      <c r="M1233" s="8"/>
      <c r="N1233" s="8"/>
      <c r="O1233" s="8"/>
      <c r="P1233" s="8"/>
      <c r="Q1233" s="8"/>
    </row>
    <row r="1234" spans="9:17" s="1" customFormat="1" x14ac:dyDescent="0.25">
      <c r="I1234" s="8"/>
      <c r="K1234" s="8"/>
      <c r="L1234" s="8"/>
      <c r="M1234" s="8"/>
      <c r="N1234" s="8"/>
      <c r="O1234" s="8"/>
      <c r="P1234" s="8"/>
      <c r="Q1234" s="8"/>
    </row>
    <row r="1235" spans="9:17" s="1" customFormat="1" x14ac:dyDescent="0.25">
      <c r="I1235" s="8"/>
      <c r="K1235" s="8"/>
      <c r="L1235" s="8"/>
      <c r="M1235" s="8"/>
      <c r="N1235" s="8"/>
      <c r="O1235" s="8"/>
      <c r="P1235" s="8"/>
      <c r="Q1235" s="8"/>
    </row>
    <row r="1236" spans="9:17" s="1" customFormat="1" x14ac:dyDescent="0.25">
      <c r="I1236" s="8"/>
      <c r="K1236" s="8"/>
      <c r="L1236" s="8"/>
      <c r="M1236" s="8"/>
      <c r="N1236" s="8"/>
      <c r="O1236" s="8"/>
      <c r="P1236" s="8"/>
      <c r="Q1236" s="8"/>
    </row>
    <row r="1237" spans="9:17" s="1" customFormat="1" x14ac:dyDescent="0.25">
      <c r="I1237" s="8"/>
      <c r="K1237" s="8"/>
      <c r="L1237" s="8"/>
      <c r="M1237" s="8"/>
      <c r="N1237" s="8"/>
      <c r="O1237" s="8"/>
      <c r="P1237" s="8"/>
      <c r="Q1237" s="8"/>
    </row>
    <row r="1238" spans="9:17" s="1" customFormat="1" x14ac:dyDescent="0.25">
      <c r="I1238" s="8"/>
      <c r="K1238" s="8"/>
      <c r="L1238" s="8"/>
      <c r="M1238" s="8"/>
      <c r="N1238" s="8"/>
      <c r="O1238" s="8"/>
      <c r="P1238" s="8"/>
      <c r="Q1238" s="8"/>
    </row>
    <row r="1239" spans="9:17" s="1" customFormat="1" x14ac:dyDescent="0.25">
      <c r="I1239" s="8"/>
      <c r="K1239" s="8"/>
      <c r="L1239" s="8"/>
      <c r="M1239" s="8"/>
      <c r="N1239" s="8"/>
      <c r="O1239" s="8"/>
      <c r="P1239" s="8"/>
      <c r="Q1239" s="8"/>
    </row>
    <row r="1240" spans="9:17" s="1" customFormat="1" x14ac:dyDescent="0.25">
      <c r="I1240" s="8"/>
      <c r="K1240" s="8"/>
      <c r="L1240" s="8"/>
      <c r="M1240" s="8"/>
      <c r="N1240" s="8"/>
      <c r="O1240" s="8"/>
      <c r="P1240" s="8"/>
      <c r="Q1240" s="8"/>
    </row>
    <row r="1241" spans="9:17" s="1" customFormat="1" x14ac:dyDescent="0.25">
      <c r="I1241" s="8"/>
      <c r="K1241" s="8"/>
      <c r="L1241" s="8"/>
      <c r="M1241" s="8"/>
      <c r="N1241" s="8"/>
      <c r="O1241" s="8"/>
      <c r="P1241" s="8"/>
      <c r="Q1241" s="8"/>
    </row>
    <row r="1242" spans="9:17" s="1" customFormat="1" x14ac:dyDescent="0.25">
      <c r="I1242" s="8"/>
      <c r="K1242" s="8"/>
      <c r="L1242" s="8"/>
      <c r="M1242" s="8"/>
      <c r="N1242" s="8"/>
      <c r="O1242" s="8"/>
      <c r="P1242" s="8"/>
      <c r="Q1242" s="8"/>
    </row>
    <row r="1243" spans="9:17" s="1" customFormat="1" x14ac:dyDescent="0.25">
      <c r="I1243" s="8"/>
      <c r="K1243" s="8"/>
      <c r="L1243" s="8"/>
      <c r="M1243" s="8"/>
      <c r="N1243" s="8"/>
      <c r="O1243" s="8"/>
      <c r="P1243" s="8"/>
      <c r="Q1243" s="8"/>
    </row>
    <row r="1244" spans="9:17" s="1" customFormat="1" x14ac:dyDescent="0.25">
      <c r="I1244" s="8"/>
      <c r="K1244" s="8"/>
      <c r="L1244" s="8"/>
      <c r="M1244" s="8"/>
      <c r="N1244" s="8"/>
      <c r="O1244" s="8"/>
      <c r="P1244" s="8"/>
      <c r="Q1244" s="8"/>
    </row>
    <row r="1245" spans="9:17" s="1" customFormat="1" x14ac:dyDescent="0.25">
      <c r="I1245" s="8"/>
      <c r="K1245" s="8"/>
      <c r="L1245" s="8"/>
      <c r="M1245" s="8"/>
      <c r="N1245" s="8"/>
      <c r="O1245" s="8"/>
      <c r="P1245" s="8"/>
      <c r="Q1245" s="8"/>
    </row>
    <row r="1246" spans="9:17" s="1" customFormat="1" x14ac:dyDescent="0.25">
      <c r="I1246" s="8"/>
      <c r="K1246" s="8"/>
      <c r="L1246" s="8"/>
      <c r="M1246" s="8"/>
      <c r="N1246" s="8"/>
      <c r="O1246" s="8"/>
      <c r="P1246" s="8"/>
      <c r="Q1246" s="8"/>
    </row>
    <row r="1247" spans="9:17" s="1" customFormat="1" x14ac:dyDescent="0.25">
      <c r="I1247" s="8"/>
      <c r="K1247" s="8"/>
      <c r="L1247" s="8"/>
      <c r="M1247" s="8"/>
      <c r="N1247" s="8"/>
      <c r="O1247" s="8"/>
      <c r="P1247" s="8"/>
      <c r="Q1247" s="8"/>
    </row>
    <row r="1248" spans="9:17" s="1" customFormat="1" x14ac:dyDescent="0.25">
      <c r="I1248" s="8"/>
      <c r="K1248" s="8"/>
      <c r="L1248" s="8"/>
      <c r="M1248" s="8"/>
      <c r="N1248" s="8"/>
      <c r="O1248" s="8"/>
      <c r="P1248" s="8"/>
      <c r="Q1248" s="8"/>
    </row>
    <row r="1249" spans="9:17" s="1" customFormat="1" x14ac:dyDescent="0.25">
      <c r="I1249" s="8"/>
      <c r="K1249" s="8"/>
      <c r="L1249" s="8"/>
      <c r="M1249" s="8"/>
      <c r="N1249" s="8"/>
      <c r="O1249" s="8"/>
      <c r="P1249" s="8"/>
      <c r="Q1249" s="8"/>
    </row>
    <row r="1250" spans="9:17" s="1" customFormat="1" x14ac:dyDescent="0.25">
      <c r="I1250" s="8"/>
      <c r="K1250" s="8"/>
      <c r="L1250" s="8"/>
      <c r="M1250" s="8"/>
      <c r="N1250" s="8"/>
      <c r="O1250" s="8"/>
      <c r="P1250" s="8"/>
      <c r="Q1250" s="8"/>
    </row>
    <row r="1251" spans="9:17" s="1" customFormat="1" x14ac:dyDescent="0.25">
      <c r="I1251" s="8"/>
      <c r="K1251" s="8"/>
      <c r="L1251" s="8"/>
      <c r="M1251" s="8"/>
      <c r="N1251" s="8"/>
      <c r="O1251" s="8"/>
      <c r="P1251" s="8"/>
      <c r="Q1251" s="8"/>
    </row>
    <row r="1252" spans="9:17" s="1" customFormat="1" x14ac:dyDescent="0.25">
      <c r="I1252" s="8"/>
      <c r="K1252" s="8"/>
      <c r="L1252" s="8"/>
      <c r="M1252" s="8"/>
      <c r="N1252" s="8"/>
      <c r="O1252" s="8"/>
      <c r="P1252" s="8"/>
      <c r="Q1252" s="8"/>
    </row>
    <row r="1253" spans="9:17" s="1" customFormat="1" x14ac:dyDescent="0.25">
      <c r="I1253" s="8"/>
      <c r="K1253" s="8"/>
      <c r="L1253" s="8"/>
      <c r="M1253" s="8"/>
      <c r="N1253" s="8"/>
      <c r="O1253" s="8"/>
      <c r="P1253" s="8"/>
      <c r="Q1253" s="8"/>
    </row>
    <row r="1254" spans="9:17" s="1" customFormat="1" x14ac:dyDescent="0.25">
      <c r="I1254" s="8"/>
      <c r="K1254" s="8"/>
      <c r="L1254" s="8"/>
      <c r="M1254" s="8"/>
      <c r="N1254" s="8"/>
      <c r="O1254" s="8"/>
      <c r="P1254" s="8"/>
      <c r="Q1254" s="8"/>
    </row>
    <row r="1255" spans="9:17" s="1" customFormat="1" x14ac:dyDescent="0.25">
      <c r="I1255" s="8"/>
      <c r="K1255" s="8"/>
      <c r="L1255" s="8"/>
      <c r="M1255" s="8"/>
      <c r="N1255" s="8"/>
      <c r="O1255" s="8"/>
      <c r="P1255" s="8"/>
      <c r="Q1255" s="8"/>
    </row>
    <row r="1256" spans="9:17" s="1" customFormat="1" x14ac:dyDescent="0.25">
      <c r="I1256" s="8"/>
      <c r="K1256" s="8"/>
      <c r="L1256" s="8"/>
      <c r="M1256" s="8"/>
      <c r="N1256" s="8"/>
      <c r="O1256" s="8"/>
      <c r="P1256" s="8"/>
      <c r="Q1256" s="8"/>
    </row>
    <row r="1257" spans="9:17" s="1" customFormat="1" x14ac:dyDescent="0.25">
      <c r="I1257" s="8"/>
      <c r="K1257" s="8"/>
      <c r="L1257" s="8"/>
      <c r="M1257" s="8"/>
      <c r="N1257" s="8"/>
      <c r="O1257" s="8"/>
      <c r="P1257" s="8"/>
      <c r="Q1257" s="8"/>
    </row>
    <row r="1258" spans="9:17" s="1" customFormat="1" x14ac:dyDescent="0.25">
      <c r="I1258" s="8"/>
      <c r="K1258" s="8"/>
      <c r="L1258" s="8"/>
      <c r="M1258" s="8"/>
      <c r="N1258" s="8"/>
      <c r="O1258" s="8"/>
      <c r="P1258" s="8"/>
      <c r="Q1258" s="8"/>
    </row>
    <row r="1259" spans="9:17" s="1" customFormat="1" x14ac:dyDescent="0.25">
      <c r="I1259" s="8"/>
      <c r="K1259" s="8"/>
      <c r="L1259" s="8"/>
      <c r="M1259" s="8"/>
      <c r="N1259" s="8"/>
      <c r="O1259" s="8"/>
      <c r="P1259" s="8"/>
      <c r="Q1259" s="8"/>
    </row>
    <row r="1260" spans="9:17" s="1" customFormat="1" x14ac:dyDescent="0.25">
      <c r="I1260" s="8"/>
      <c r="K1260" s="8"/>
      <c r="L1260" s="8"/>
      <c r="M1260" s="8"/>
      <c r="N1260" s="8"/>
      <c r="O1260" s="8"/>
      <c r="P1260" s="8"/>
      <c r="Q1260" s="8"/>
    </row>
    <row r="1261" spans="9:17" s="1" customFormat="1" x14ac:dyDescent="0.25">
      <c r="I1261" s="8"/>
      <c r="K1261" s="8"/>
      <c r="L1261" s="8"/>
      <c r="M1261" s="8"/>
      <c r="N1261" s="8"/>
      <c r="O1261" s="8"/>
      <c r="P1261" s="8"/>
      <c r="Q1261" s="8"/>
    </row>
    <row r="1262" spans="9:17" s="1" customFormat="1" x14ac:dyDescent="0.25">
      <c r="I1262" s="8"/>
      <c r="K1262" s="8"/>
      <c r="L1262" s="8"/>
      <c r="M1262" s="8"/>
      <c r="N1262" s="8"/>
      <c r="O1262" s="8"/>
      <c r="P1262" s="8"/>
      <c r="Q1262" s="8"/>
    </row>
    <row r="1263" spans="9:17" s="1" customFormat="1" x14ac:dyDescent="0.25">
      <c r="I1263" s="8"/>
      <c r="K1263" s="8"/>
      <c r="L1263" s="8"/>
      <c r="M1263" s="8"/>
      <c r="N1263" s="8"/>
      <c r="O1263" s="8"/>
      <c r="P1263" s="8"/>
      <c r="Q1263" s="8"/>
    </row>
    <row r="1264" spans="9:17" s="1" customFormat="1" x14ac:dyDescent="0.25">
      <c r="I1264" s="8"/>
      <c r="K1264" s="8"/>
      <c r="L1264" s="8"/>
      <c r="M1264" s="8"/>
      <c r="N1264" s="8"/>
      <c r="O1264" s="8"/>
      <c r="P1264" s="8"/>
      <c r="Q1264" s="8"/>
    </row>
    <row r="1265" spans="9:17" s="1" customFormat="1" x14ac:dyDescent="0.25">
      <c r="I1265" s="8"/>
      <c r="K1265" s="8"/>
      <c r="L1265" s="8"/>
      <c r="M1265" s="8"/>
      <c r="N1265" s="8"/>
      <c r="O1265" s="8"/>
      <c r="P1265" s="8"/>
      <c r="Q1265" s="8"/>
    </row>
    <row r="1266" spans="9:17" s="1" customFormat="1" x14ac:dyDescent="0.25">
      <c r="I1266" s="8"/>
      <c r="K1266" s="8"/>
      <c r="L1266" s="8"/>
      <c r="M1266" s="8"/>
      <c r="N1266" s="8"/>
      <c r="O1266" s="8"/>
      <c r="P1266" s="8"/>
      <c r="Q1266" s="8"/>
    </row>
    <row r="1267" spans="9:17" s="1" customFormat="1" x14ac:dyDescent="0.25">
      <c r="I1267" s="8"/>
      <c r="K1267" s="8"/>
      <c r="L1267" s="8"/>
      <c r="M1267" s="8"/>
      <c r="N1267" s="8"/>
      <c r="O1267" s="8"/>
      <c r="P1267" s="8"/>
      <c r="Q1267" s="8"/>
    </row>
    <row r="1268" spans="9:17" s="1" customFormat="1" x14ac:dyDescent="0.25">
      <c r="I1268" s="8"/>
      <c r="K1268" s="8"/>
      <c r="L1268" s="8"/>
      <c r="M1268" s="8"/>
      <c r="N1268" s="8"/>
      <c r="O1268" s="8"/>
      <c r="P1268" s="8"/>
      <c r="Q1268" s="8"/>
    </row>
    <row r="1269" spans="9:17" s="1" customFormat="1" x14ac:dyDescent="0.25">
      <c r="I1269" s="8"/>
      <c r="K1269" s="8"/>
      <c r="L1269" s="8"/>
      <c r="M1269" s="8"/>
      <c r="N1269" s="8"/>
      <c r="O1269" s="8"/>
      <c r="P1269" s="8"/>
      <c r="Q1269" s="8"/>
    </row>
    <row r="1270" spans="9:17" s="1" customFormat="1" x14ac:dyDescent="0.25">
      <c r="I1270" s="8"/>
      <c r="K1270" s="8"/>
      <c r="L1270" s="8"/>
      <c r="M1270" s="8"/>
      <c r="N1270" s="8"/>
      <c r="O1270" s="8"/>
      <c r="P1270" s="8"/>
      <c r="Q1270" s="8"/>
    </row>
    <row r="1271" spans="9:17" s="1" customFormat="1" x14ac:dyDescent="0.25">
      <c r="I1271" s="8"/>
      <c r="K1271" s="8"/>
      <c r="L1271" s="8"/>
      <c r="M1271" s="8"/>
      <c r="N1271" s="8"/>
      <c r="O1271" s="8"/>
      <c r="P1271" s="8"/>
      <c r="Q1271" s="8"/>
    </row>
    <row r="1272" spans="9:17" s="1" customFormat="1" x14ac:dyDescent="0.25">
      <c r="I1272" s="8"/>
      <c r="K1272" s="8"/>
      <c r="L1272" s="8"/>
      <c r="M1272" s="8"/>
      <c r="N1272" s="8"/>
      <c r="O1272" s="8"/>
      <c r="P1272" s="8"/>
      <c r="Q1272" s="8"/>
    </row>
    <row r="1273" spans="9:17" s="1" customFormat="1" x14ac:dyDescent="0.25">
      <c r="I1273" s="8"/>
      <c r="K1273" s="8"/>
      <c r="L1273" s="8"/>
      <c r="M1273" s="8"/>
      <c r="N1273" s="8"/>
      <c r="O1273" s="8"/>
      <c r="P1273" s="8"/>
      <c r="Q1273" s="8"/>
    </row>
    <row r="1274" spans="9:17" s="1" customFormat="1" x14ac:dyDescent="0.25">
      <c r="I1274" s="8"/>
      <c r="K1274" s="8"/>
      <c r="L1274" s="8"/>
      <c r="M1274" s="8"/>
      <c r="N1274" s="8"/>
      <c r="O1274" s="8"/>
      <c r="P1274" s="8"/>
      <c r="Q1274" s="8"/>
    </row>
    <row r="1275" spans="9:17" s="1" customFormat="1" x14ac:dyDescent="0.25">
      <c r="I1275" s="8"/>
      <c r="K1275" s="8"/>
      <c r="L1275" s="8"/>
      <c r="M1275" s="8"/>
      <c r="N1275" s="8"/>
      <c r="O1275" s="8"/>
      <c r="P1275" s="8"/>
      <c r="Q1275" s="8"/>
    </row>
    <row r="1276" spans="9:17" s="1" customFormat="1" x14ac:dyDescent="0.25">
      <c r="I1276" s="8"/>
      <c r="K1276" s="8"/>
      <c r="L1276" s="8"/>
      <c r="M1276" s="8"/>
      <c r="N1276" s="8"/>
      <c r="O1276" s="8"/>
      <c r="P1276" s="8"/>
      <c r="Q1276" s="8"/>
    </row>
    <row r="1277" spans="9:17" s="1" customFormat="1" x14ac:dyDescent="0.25">
      <c r="I1277" s="8"/>
      <c r="K1277" s="8"/>
      <c r="L1277" s="8"/>
      <c r="M1277" s="8"/>
      <c r="N1277" s="8"/>
      <c r="O1277" s="8"/>
      <c r="P1277" s="8"/>
      <c r="Q1277" s="8"/>
    </row>
    <row r="1278" spans="9:17" s="1" customFormat="1" x14ac:dyDescent="0.25">
      <c r="I1278" s="8"/>
      <c r="K1278" s="8"/>
      <c r="L1278" s="8"/>
      <c r="M1278" s="8"/>
      <c r="N1278" s="8"/>
      <c r="O1278" s="8"/>
      <c r="P1278" s="8"/>
      <c r="Q1278" s="8"/>
    </row>
    <row r="1279" spans="9:17" s="1" customFormat="1" x14ac:dyDescent="0.25">
      <c r="I1279" s="8"/>
      <c r="K1279" s="8"/>
      <c r="L1279" s="8"/>
      <c r="M1279" s="8"/>
      <c r="N1279" s="8"/>
      <c r="O1279" s="8"/>
      <c r="P1279" s="8"/>
      <c r="Q1279" s="8"/>
    </row>
    <row r="1280" spans="9:17" s="1" customFormat="1" x14ac:dyDescent="0.25">
      <c r="I1280" s="8"/>
      <c r="K1280" s="8"/>
      <c r="L1280" s="8"/>
      <c r="M1280" s="8"/>
      <c r="N1280" s="8"/>
      <c r="O1280" s="8"/>
      <c r="P1280" s="8"/>
      <c r="Q1280" s="8"/>
    </row>
    <row r="1281" spans="9:17" s="1" customFormat="1" x14ac:dyDescent="0.25">
      <c r="I1281" s="8"/>
      <c r="K1281" s="8"/>
      <c r="L1281" s="8"/>
      <c r="M1281" s="8"/>
      <c r="N1281" s="8"/>
      <c r="O1281" s="8"/>
      <c r="P1281" s="8"/>
      <c r="Q1281" s="8"/>
    </row>
    <row r="1282" spans="9:17" s="1" customFormat="1" x14ac:dyDescent="0.25">
      <c r="I1282" s="8"/>
      <c r="K1282" s="8"/>
      <c r="L1282" s="8"/>
      <c r="M1282" s="8"/>
      <c r="N1282" s="8"/>
      <c r="O1282" s="8"/>
      <c r="P1282" s="8"/>
      <c r="Q1282" s="8"/>
    </row>
    <row r="1283" spans="9:17" s="1" customFormat="1" x14ac:dyDescent="0.25">
      <c r="I1283" s="8"/>
      <c r="K1283" s="8"/>
      <c r="L1283" s="8"/>
      <c r="M1283" s="8"/>
      <c r="N1283" s="8"/>
      <c r="O1283" s="8"/>
      <c r="P1283" s="8"/>
      <c r="Q1283" s="8"/>
    </row>
    <row r="1284" spans="9:17" s="1" customFormat="1" x14ac:dyDescent="0.25">
      <c r="I1284" s="8"/>
      <c r="K1284" s="8"/>
      <c r="L1284" s="8"/>
      <c r="M1284" s="8"/>
      <c r="N1284" s="8"/>
      <c r="O1284" s="8"/>
      <c r="P1284" s="8"/>
      <c r="Q1284" s="8"/>
    </row>
    <row r="1285" spans="9:17" s="1" customFormat="1" x14ac:dyDescent="0.25">
      <c r="I1285" s="8"/>
      <c r="K1285" s="8"/>
      <c r="L1285" s="8"/>
      <c r="M1285" s="8"/>
      <c r="N1285" s="8"/>
      <c r="O1285" s="8"/>
      <c r="P1285" s="8"/>
      <c r="Q1285" s="8"/>
    </row>
    <row r="1286" spans="9:17" s="1" customFormat="1" x14ac:dyDescent="0.25">
      <c r="I1286" s="8"/>
      <c r="K1286" s="8"/>
      <c r="L1286" s="8"/>
      <c r="M1286" s="8"/>
      <c r="N1286" s="8"/>
      <c r="O1286" s="8"/>
      <c r="P1286" s="8"/>
      <c r="Q1286" s="8"/>
    </row>
    <row r="1287" spans="9:17" s="1" customFormat="1" x14ac:dyDescent="0.25">
      <c r="I1287" s="8"/>
      <c r="K1287" s="8"/>
      <c r="L1287" s="8"/>
      <c r="M1287" s="8"/>
      <c r="N1287" s="8"/>
      <c r="O1287" s="8"/>
      <c r="P1287" s="8"/>
      <c r="Q1287" s="8"/>
    </row>
    <row r="1288" spans="9:17" s="1" customFormat="1" x14ac:dyDescent="0.25">
      <c r="I1288" s="8"/>
      <c r="K1288" s="8"/>
      <c r="L1288" s="8"/>
      <c r="M1288" s="8"/>
      <c r="N1288" s="8"/>
      <c r="O1288" s="8"/>
      <c r="P1288" s="8"/>
      <c r="Q1288" s="8"/>
    </row>
    <row r="1289" spans="9:17" s="1" customFormat="1" x14ac:dyDescent="0.25">
      <c r="I1289" s="8"/>
      <c r="K1289" s="8"/>
      <c r="L1289" s="8"/>
      <c r="M1289" s="8"/>
      <c r="N1289" s="8"/>
      <c r="O1289" s="8"/>
      <c r="P1289" s="8"/>
      <c r="Q1289" s="8"/>
    </row>
    <row r="1290" spans="9:17" s="1" customFormat="1" x14ac:dyDescent="0.25">
      <c r="I1290" s="8"/>
      <c r="K1290" s="8"/>
      <c r="L1290" s="8"/>
      <c r="M1290" s="8"/>
      <c r="N1290" s="8"/>
      <c r="O1290" s="8"/>
      <c r="P1290" s="8"/>
      <c r="Q1290" s="8"/>
    </row>
    <row r="1291" spans="9:17" s="1" customFormat="1" x14ac:dyDescent="0.25">
      <c r="I1291" s="8"/>
      <c r="K1291" s="8"/>
      <c r="L1291" s="8"/>
      <c r="M1291" s="8"/>
      <c r="N1291" s="8"/>
      <c r="O1291" s="8"/>
      <c r="P1291" s="8"/>
      <c r="Q1291" s="8"/>
    </row>
    <row r="1292" spans="9:17" s="1" customFormat="1" x14ac:dyDescent="0.25">
      <c r="I1292" s="8"/>
      <c r="K1292" s="8"/>
      <c r="L1292" s="8"/>
      <c r="M1292" s="8"/>
      <c r="N1292" s="8"/>
      <c r="O1292" s="8"/>
      <c r="P1292" s="8"/>
      <c r="Q1292" s="8"/>
    </row>
    <row r="1293" spans="9:17" s="1" customFormat="1" x14ac:dyDescent="0.25">
      <c r="I1293" s="8"/>
      <c r="K1293" s="8"/>
      <c r="L1293" s="8"/>
      <c r="M1293" s="8"/>
      <c r="N1293" s="8"/>
      <c r="O1293" s="8"/>
      <c r="P1293" s="8"/>
      <c r="Q1293" s="8"/>
    </row>
    <row r="1294" spans="9:17" s="1" customFormat="1" x14ac:dyDescent="0.25">
      <c r="I1294" s="8"/>
      <c r="K1294" s="8"/>
      <c r="L1294" s="8"/>
      <c r="M1294" s="8"/>
      <c r="N1294" s="8"/>
      <c r="O1294" s="8"/>
      <c r="P1294" s="8"/>
      <c r="Q1294" s="8"/>
    </row>
    <row r="1295" spans="9:17" s="1" customFormat="1" x14ac:dyDescent="0.25">
      <c r="I1295" s="8"/>
      <c r="K1295" s="8"/>
      <c r="L1295" s="8"/>
      <c r="M1295" s="8"/>
      <c r="N1295" s="8"/>
      <c r="O1295" s="8"/>
      <c r="P1295" s="8"/>
      <c r="Q1295" s="8"/>
    </row>
    <row r="1296" spans="9:17" s="1" customFormat="1" x14ac:dyDescent="0.25">
      <c r="I1296" s="8"/>
      <c r="K1296" s="8"/>
      <c r="L1296" s="8"/>
      <c r="M1296" s="8"/>
      <c r="N1296" s="8"/>
      <c r="O1296" s="8"/>
      <c r="P1296" s="8"/>
      <c r="Q1296" s="8"/>
    </row>
    <row r="1297" spans="9:17" s="1" customFormat="1" x14ac:dyDescent="0.25">
      <c r="I1297" s="8"/>
      <c r="K1297" s="8"/>
      <c r="L1297" s="8"/>
      <c r="M1297" s="8"/>
      <c r="N1297" s="8"/>
      <c r="O1297" s="8"/>
      <c r="P1297" s="8"/>
      <c r="Q1297" s="8"/>
    </row>
    <row r="1298" spans="9:17" s="1" customFormat="1" x14ac:dyDescent="0.25">
      <c r="I1298" s="8"/>
      <c r="K1298" s="8"/>
      <c r="L1298" s="8"/>
      <c r="M1298" s="8"/>
      <c r="N1298" s="8"/>
      <c r="O1298" s="8"/>
      <c r="P1298" s="8"/>
      <c r="Q1298" s="8"/>
    </row>
    <row r="1299" spans="9:17" s="1" customFormat="1" x14ac:dyDescent="0.25">
      <c r="I1299" s="8"/>
      <c r="K1299" s="8"/>
      <c r="L1299" s="8"/>
      <c r="M1299" s="8"/>
      <c r="N1299" s="8"/>
      <c r="O1299" s="8"/>
      <c r="P1299" s="8"/>
      <c r="Q1299" s="8"/>
    </row>
    <row r="1300" spans="9:17" s="1" customFormat="1" x14ac:dyDescent="0.25">
      <c r="I1300" s="8"/>
      <c r="K1300" s="8"/>
      <c r="L1300" s="8"/>
      <c r="M1300" s="8"/>
      <c r="N1300" s="8"/>
      <c r="O1300" s="8"/>
      <c r="P1300" s="8"/>
      <c r="Q1300" s="8"/>
    </row>
    <row r="1301" spans="9:17" s="1" customFormat="1" x14ac:dyDescent="0.25">
      <c r="I1301" s="8"/>
      <c r="K1301" s="8"/>
      <c r="L1301" s="8"/>
      <c r="M1301" s="8"/>
      <c r="N1301" s="8"/>
      <c r="O1301" s="8"/>
      <c r="P1301" s="8"/>
      <c r="Q1301" s="8"/>
    </row>
    <row r="1302" spans="9:17" s="1" customFormat="1" x14ac:dyDescent="0.25">
      <c r="I1302" s="8"/>
      <c r="K1302" s="8"/>
      <c r="L1302" s="8"/>
      <c r="M1302" s="8"/>
      <c r="N1302" s="8"/>
      <c r="O1302" s="8"/>
      <c r="P1302" s="8"/>
      <c r="Q1302" s="8"/>
    </row>
    <row r="1303" spans="9:17" s="1" customFormat="1" x14ac:dyDescent="0.25">
      <c r="I1303" s="8"/>
      <c r="K1303" s="8"/>
      <c r="L1303" s="8"/>
      <c r="M1303" s="8"/>
      <c r="N1303" s="8"/>
      <c r="O1303" s="8"/>
      <c r="P1303" s="8"/>
      <c r="Q1303" s="8"/>
    </row>
    <row r="1304" spans="9:17" s="1" customFormat="1" x14ac:dyDescent="0.25">
      <c r="I1304" s="8"/>
      <c r="K1304" s="8"/>
      <c r="L1304" s="8"/>
      <c r="M1304" s="8"/>
      <c r="N1304" s="8"/>
      <c r="O1304" s="8"/>
      <c r="P1304" s="8"/>
      <c r="Q1304" s="8"/>
    </row>
    <row r="1305" spans="9:17" s="1" customFormat="1" x14ac:dyDescent="0.25">
      <c r="I1305" s="8"/>
      <c r="K1305" s="8"/>
      <c r="L1305" s="8"/>
      <c r="M1305" s="8"/>
      <c r="N1305" s="8"/>
      <c r="O1305" s="8"/>
      <c r="P1305" s="8"/>
      <c r="Q1305" s="8"/>
    </row>
    <row r="1306" spans="9:17" s="1" customFormat="1" x14ac:dyDescent="0.25">
      <c r="I1306" s="8"/>
      <c r="K1306" s="8"/>
      <c r="L1306" s="8"/>
      <c r="M1306" s="8"/>
      <c r="N1306" s="8"/>
      <c r="O1306" s="8"/>
      <c r="P1306" s="8"/>
      <c r="Q1306" s="8"/>
    </row>
    <row r="1307" spans="9:17" s="1" customFormat="1" x14ac:dyDescent="0.25">
      <c r="I1307" s="8"/>
      <c r="K1307" s="8"/>
      <c r="L1307" s="8"/>
      <c r="M1307" s="8"/>
      <c r="N1307" s="8"/>
      <c r="O1307" s="8"/>
      <c r="P1307" s="8"/>
      <c r="Q1307" s="8"/>
    </row>
    <row r="1308" spans="9:17" s="1" customFormat="1" x14ac:dyDescent="0.25">
      <c r="I1308" s="8"/>
      <c r="K1308" s="8"/>
      <c r="L1308" s="8"/>
      <c r="M1308" s="8"/>
      <c r="N1308" s="8"/>
      <c r="O1308" s="8"/>
      <c r="P1308" s="8"/>
      <c r="Q1308" s="8"/>
    </row>
    <row r="1309" spans="9:17" s="1" customFormat="1" x14ac:dyDescent="0.25">
      <c r="I1309" s="8"/>
      <c r="K1309" s="8"/>
      <c r="L1309" s="8"/>
      <c r="M1309" s="8"/>
      <c r="N1309" s="8"/>
      <c r="O1309" s="8"/>
      <c r="P1309" s="8"/>
      <c r="Q1309" s="8"/>
    </row>
    <row r="1310" spans="9:17" s="1" customFormat="1" x14ac:dyDescent="0.25">
      <c r="I1310" s="8"/>
      <c r="K1310" s="8"/>
      <c r="L1310" s="8"/>
      <c r="M1310" s="8"/>
      <c r="N1310" s="8"/>
      <c r="O1310" s="8"/>
      <c r="P1310" s="8"/>
      <c r="Q1310" s="8"/>
    </row>
    <row r="1311" spans="9:17" s="1" customFormat="1" x14ac:dyDescent="0.25">
      <c r="I1311" s="8"/>
      <c r="K1311" s="8"/>
      <c r="L1311" s="8"/>
      <c r="M1311" s="8"/>
      <c r="N1311" s="8"/>
      <c r="O1311" s="8"/>
      <c r="P1311" s="8"/>
      <c r="Q1311" s="8"/>
    </row>
    <row r="1312" spans="9:17" s="1" customFormat="1" x14ac:dyDescent="0.25">
      <c r="I1312" s="8"/>
      <c r="K1312" s="8"/>
      <c r="L1312" s="8"/>
      <c r="M1312" s="8"/>
      <c r="N1312" s="8"/>
      <c r="O1312" s="8"/>
      <c r="P1312" s="8"/>
      <c r="Q1312" s="8"/>
    </row>
    <row r="1313" spans="9:17" s="1" customFormat="1" x14ac:dyDescent="0.25">
      <c r="I1313" s="8"/>
      <c r="K1313" s="8"/>
      <c r="L1313" s="8"/>
      <c r="M1313" s="8"/>
      <c r="N1313" s="8"/>
      <c r="O1313" s="8"/>
      <c r="P1313" s="8"/>
      <c r="Q1313" s="8"/>
    </row>
    <row r="1314" spans="9:17" s="1" customFormat="1" x14ac:dyDescent="0.25">
      <c r="I1314" s="8"/>
      <c r="K1314" s="8"/>
      <c r="L1314" s="8"/>
      <c r="M1314" s="8"/>
      <c r="N1314" s="8"/>
      <c r="O1314" s="8"/>
      <c r="P1314" s="8"/>
      <c r="Q1314" s="8"/>
    </row>
    <row r="1315" spans="9:17" s="1" customFormat="1" x14ac:dyDescent="0.25">
      <c r="I1315" s="8"/>
      <c r="K1315" s="8"/>
      <c r="L1315" s="8"/>
      <c r="M1315" s="8"/>
      <c r="N1315" s="8"/>
      <c r="O1315" s="8"/>
      <c r="P1315" s="8"/>
      <c r="Q1315" s="8"/>
    </row>
    <row r="1316" spans="9:17" s="1" customFormat="1" x14ac:dyDescent="0.25">
      <c r="I1316" s="8"/>
      <c r="K1316" s="8"/>
      <c r="L1316" s="8"/>
      <c r="M1316" s="8"/>
      <c r="N1316" s="8"/>
      <c r="O1316" s="8"/>
      <c r="P1316" s="8"/>
      <c r="Q1316" s="8"/>
    </row>
    <row r="1317" spans="9:17" s="1" customFormat="1" x14ac:dyDescent="0.25">
      <c r="I1317" s="8"/>
      <c r="K1317" s="8"/>
      <c r="L1317" s="8"/>
      <c r="M1317" s="8"/>
      <c r="N1317" s="8"/>
      <c r="O1317" s="8"/>
      <c r="P1317" s="8"/>
      <c r="Q1317" s="8"/>
    </row>
    <row r="1318" spans="9:17" s="1" customFormat="1" x14ac:dyDescent="0.25">
      <c r="I1318" s="8"/>
      <c r="K1318" s="8"/>
      <c r="L1318" s="8"/>
      <c r="M1318" s="8"/>
      <c r="N1318" s="8"/>
      <c r="O1318" s="8"/>
      <c r="P1318" s="8"/>
      <c r="Q1318" s="8"/>
    </row>
    <row r="1319" spans="9:17" s="1" customFormat="1" x14ac:dyDescent="0.25">
      <c r="I1319" s="8"/>
      <c r="K1319" s="8"/>
      <c r="L1319" s="8"/>
      <c r="M1319" s="8"/>
      <c r="N1319" s="8"/>
      <c r="O1319" s="8"/>
      <c r="P1319" s="8"/>
      <c r="Q1319" s="8"/>
    </row>
    <row r="1320" spans="9:17" s="1" customFormat="1" x14ac:dyDescent="0.25">
      <c r="I1320" s="8"/>
      <c r="K1320" s="8"/>
      <c r="L1320" s="8"/>
      <c r="M1320" s="8"/>
      <c r="N1320" s="8"/>
      <c r="O1320" s="8"/>
      <c r="P1320" s="8"/>
      <c r="Q1320" s="8"/>
    </row>
    <row r="1321" spans="9:17" s="1" customFormat="1" x14ac:dyDescent="0.25">
      <c r="I1321" s="8"/>
      <c r="K1321" s="8"/>
      <c r="L1321" s="8"/>
      <c r="M1321" s="8"/>
      <c r="N1321" s="8"/>
      <c r="O1321" s="8"/>
      <c r="P1321" s="8"/>
      <c r="Q1321" s="8"/>
    </row>
    <row r="1322" spans="9:17" s="1" customFormat="1" x14ac:dyDescent="0.25">
      <c r="I1322" s="8"/>
      <c r="K1322" s="8"/>
      <c r="L1322" s="8"/>
      <c r="M1322" s="8"/>
      <c r="N1322" s="8"/>
      <c r="O1322" s="8"/>
      <c r="P1322" s="8"/>
      <c r="Q1322" s="8"/>
    </row>
    <row r="1323" spans="9:17" s="1" customFormat="1" x14ac:dyDescent="0.25">
      <c r="I1323" s="8"/>
      <c r="K1323" s="8"/>
      <c r="L1323" s="8"/>
      <c r="M1323" s="8"/>
      <c r="N1323" s="8"/>
      <c r="O1323" s="8"/>
      <c r="P1323" s="8"/>
      <c r="Q1323" s="8"/>
    </row>
    <row r="1324" spans="9:17" s="1" customFormat="1" x14ac:dyDescent="0.25">
      <c r="I1324" s="8"/>
      <c r="K1324" s="8"/>
      <c r="L1324" s="8"/>
      <c r="M1324" s="8"/>
      <c r="N1324" s="8"/>
      <c r="O1324" s="8"/>
      <c r="P1324" s="8"/>
      <c r="Q1324" s="8"/>
    </row>
    <row r="1325" spans="9:17" s="1" customFormat="1" x14ac:dyDescent="0.25">
      <c r="I1325" s="8"/>
      <c r="K1325" s="8"/>
      <c r="L1325" s="8"/>
      <c r="M1325" s="8"/>
      <c r="N1325" s="8"/>
      <c r="O1325" s="8"/>
      <c r="P1325" s="8"/>
      <c r="Q1325" s="8"/>
    </row>
    <row r="1326" spans="9:17" s="1" customFormat="1" x14ac:dyDescent="0.25">
      <c r="I1326" s="8"/>
      <c r="K1326" s="8"/>
      <c r="L1326" s="8"/>
      <c r="M1326" s="8"/>
      <c r="N1326" s="8"/>
      <c r="O1326" s="8"/>
      <c r="P1326" s="8"/>
      <c r="Q1326" s="8"/>
    </row>
    <row r="1327" spans="9:17" s="1" customFormat="1" x14ac:dyDescent="0.25">
      <c r="I1327" s="8"/>
      <c r="K1327" s="8"/>
      <c r="L1327" s="8"/>
      <c r="M1327" s="8"/>
      <c r="N1327" s="8"/>
      <c r="O1327" s="8"/>
      <c r="P1327" s="8"/>
      <c r="Q1327" s="8"/>
    </row>
    <row r="1328" spans="9:17" s="1" customFormat="1" x14ac:dyDescent="0.25">
      <c r="I1328" s="8"/>
      <c r="K1328" s="8"/>
      <c r="L1328" s="8"/>
      <c r="M1328" s="8"/>
      <c r="N1328" s="8"/>
      <c r="O1328" s="8"/>
      <c r="P1328" s="8"/>
      <c r="Q1328" s="8"/>
    </row>
    <row r="1329" spans="9:17" s="1" customFormat="1" x14ac:dyDescent="0.25">
      <c r="I1329" s="8"/>
      <c r="K1329" s="8"/>
      <c r="L1329" s="8"/>
      <c r="M1329" s="8"/>
      <c r="N1329" s="8"/>
      <c r="O1329" s="8"/>
      <c r="P1329" s="8"/>
      <c r="Q1329" s="8"/>
    </row>
    <row r="1330" spans="9:17" s="1" customFormat="1" x14ac:dyDescent="0.25">
      <c r="I1330" s="8"/>
      <c r="K1330" s="8"/>
      <c r="L1330" s="8"/>
      <c r="M1330" s="8"/>
      <c r="N1330" s="8"/>
      <c r="O1330" s="8"/>
      <c r="P1330" s="8"/>
      <c r="Q1330" s="8"/>
    </row>
    <row r="1331" spans="9:17" s="1" customFormat="1" x14ac:dyDescent="0.25">
      <c r="I1331" s="8"/>
      <c r="K1331" s="8"/>
      <c r="L1331" s="8"/>
      <c r="M1331" s="8"/>
      <c r="N1331" s="8"/>
      <c r="O1331" s="8"/>
      <c r="P1331" s="8"/>
      <c r="Q1331" s="8"/>
    </row>
    <row r="1332" spans="9:17" s="1" customFormat="1" x14ac:dyDescent="0.25">
      <c r="I1332" s="8"/>
      <c r="K1332" s="8"/>
      <c r="L1332" s="8"/>
      <c r="M1332" s="8"/>
      <c r="N1332" s="8"/>
      <c r="O1332" s="8"/>
      <c r="P1332" s="8"/>
      <c r="Q1332" s="8"/>
    </row>
    <row r="1333" spans="9:17" s="1" customFormat="1" x14ac:dyDescent="0.25">
      <c r="I1333" s="8"/>
      <c r="K1333" s="8"/>
      <c r="L1333" s="8"/>
      <c r="M1333" s="8"/>
      <c r="N1333" s="8"/>
      <c r="O1333" s="8"/>
      <c r="P1333" s="8"/>
      <c r="Q1333" s="8"/>
    </row>
    <row r="1334" spans="9:17" s="1" customFormat="1" x14ac:dyDescent="0.25">
      <c r="I1334" s="8"/>
      <c r="K1334" s="8"/>
      <c r="L1334" s="8"/>
      <c r="M1334" s="8"/>
      <c r="N1334" s="8"/>
      <c r="O1334" s="8"/>
      <c r="P1334" s="8"/>
      <c r="Q1334" s="8"/>
    </row>
    <row r="1335" spans="9:17" s="1" customFormat="1" x14ac:dyDescent="0.25">
      <c r="I1335" s="8"/>
      <c r="K1335" s="8"/>
      <c r="L1335" s="8"/>
      <c r="M1335" s="8"/>
      <c r="N1335" s="8"/>
      <c r="O1335" s="8"/>
      <c r="P1335" s="8"/>
      <c r="Q1335" s="8"/>
    </row>
    <row r="1336" spans="9:17" s="1" customFormat="1" x14ac:dyDescent="0.25">
      <c r="I1336" s="8"/>
      <c r="K1336" s="8"/>
      <c r="L1336" s="8"/>
      <c r="M1336" s="8"/>
      <c r="N1336" s="8"/>
      <c r="O1336" s="8"/>
      <c r="P1336" s="8"/>
      <c r="Q1336" s="8"/>
    </row>
    <row r="1337" spans="9:17" s="1" customFormat="1" x14ac:dyDescent="0.25">
      <c r="I1337" s="8"/>
      <c r="K1337" s="8"/>
      <c r="L1337" s="8"/>
      <c r="M1337" s="8"/>
      <c r="N1337" s="8"/>
      <c r="O1337" s="8"/>
      <c r="P1337" s="8"/>
      <c r="Q1337" s="8"/>
    </row>
    <row r="1338" spans="9:17" s="1" customFormat="1" x14ac:dyDescent="0.25">
      <c r="I1338" s="8"/>
      <c r="K1338" s="8"/>
      <c r="L1338" s="8"/>
      <c r="M1338" s="8"/>
      <c r="N1338" s="8"/>
      <c r="O1338" s="8"/>
      <c r="P1338" s="8"/>
      <c r="Q1338" s="8"/>
    </row>
    <row r="1339" spans="9:17" s="1" customFormat="1" x14ac:dyDescent="0.25">
      <c r="I1339" s="8"/>
      <c r="K1339" s="8"/>
      <c r="L1339" s="8"/>
      <c r="M1339" s="8"/>
      <c r="N1339" s="8"/>
      <c r="O1339" s="8"/>
      <c r="P1339" s="8"/>
      <c r="Q1339" s="8"/>
    </row>
    <row r="1340" spans="9:17" s="1" customFormat="1" x14ac:dyDescent="0.25">
      <c r="I1340" s="8"/>
      <c r="K1340" s="8"/>
      <c r="L1340" s="8"/>
      <c r="M1340" s="8"/>
      <c r="N1340" s="8"/>
      <c r="O1340" s="8"/>
      <c r="P1340" s="8"/>
      <c r="Q1340" s="8"/>
    </row>
    <row r="1341" spans="9:17" s="1" customFormat="1" x14ac:dyDescent="0.25">
      <c r="I1341" s="8"/>
      <c r="K1341" s="8"/>
      <c r="L1341" s="8"/>
      <c r="M1341" s="8"/>
      <c r="N1341" s="8"/>
      <c r="O1341" s="8"/>
      <c r="P1341" s="8"/>
      <c r="Q1341" s="8"/>
    </row>
    <row r="1342" spans="9:17" s="1" customFormat="1" x14ac:dyDescent="0.25">
      <c r="I1342" s="8"/>
      <c r="K1342" s="8"/>
      <c r="L1342" s="8"/>
      <c r="M1342" s="8"/>
      <c r="N1342" s="8"/>
      <c r="O1342" s="8"/>
      <c r="P1342" s="8"/>
      <c r="Q1342" s="8"/>
    </row>
    <row r="1343" spans="9:17" s="1" customFormat="1" x14ac:dyDescent="0.25">
      <c r="I1343" s="8"/>
      <c r="K1343" s="8"/>
      <c r="L1343" s="8"/>
      <c r="M1343" s="8"/>
      <c r="N1343" s="8"/>
      <c r="O1343" s="8"/>
      <c r="P1343" s="8"/>
      <c r="Q1343" s="8"/>
    </row>
    <row r="1344" spans="9:17" s="1" customFormat="1" x14ac:dyDescent="0.25">
      <c r="I1344" s="8"/>
      <c r="K1344" s="8"/>
      <c r="L1344" s="8"/>
      <c r="M1344" s="8"/>
      <c r="N1344" s="8"/>
      <c r="O1344" s="8"/>
      <c r="P1344" s="8"/>
      <c r="Q1344" s="8"/>
    </row>
    <row r="1345" spans="9:17" s="1" customFormat="1" x14ac:dyDescent="0.25">
      <c r="I1345" s="8"/>
      <c r="K1345" s="8"/>
      <c r="L1345" s="8"/>
      <c r="M1345" s="8"/>
      <c r="N1345" s="8"/>
      <c r="O1345" s="8"/>
      <c r="P1345" s="8"/>
      <c r="Q1345" s="8"/>
    </row>
    <row r="1346" spans="9:17" s="1" customFormat="1" x14ac:dyDescent="0.25">
      <c r="I1346" s="8"/>
      <c r="K1346" s="8"/>
      <c r="L1346" s="8"/>
      <c r="M1346" s="8"/>
      <c r="N1346" s="8"/>
      <c r="O1346" s="8"/>
      <c r="P1346" s="8"/>
      <c r="Q1346" s="8"/>
    </row>
    <row r="1347" spans="9:17" s="1" customFormat="1" x14ac:dyDescent="0.25">
      <c r="I1347" s="8"/>
      <c r="K1347" s="8"/>
      <c r="L1347" s="8"/>
      <c r="M1347" s="8"/>
      <c r="N1347" s="8"/>
      <c r="O1347" s="8"/>
      <c r="P1347" s="8"/>
      <c r="Q1347" s="8"/>
    </row>
    <row r="1348" spans="9:17" s="1" customFormat="1" x14ac:dyDescent="0.25">
      <c r="I1348" s="8"/>
      <c r="K1348" s="8"/>
      <c r="L1348" s="8"/>
      <c r="M1348" s="8"/>
      <c r="N1348" s="8"/>
      <c r="O1348" s="8"/>
      <c r="P1348" s="8"/>
      <c r="Q1348" s="8"/>
    </row>
    <row r="1349" spans="9:17" s="1" customFormat="1" x14ac:dyDescent="0.25">
      <c r="I1349" s="8"/>
      <c r="K1349" s="8"/>
      <c r="L1349" s="8"/>
      <c r="M1349" s="8"/>
      <c r="N1349" s="8"/>
      <c r="O1349" s="8"/>
      <c r="P1349" s="8"/>
      <c r="Q1349" s="8"/>
    </row>
    <row r="1350" spans="9:17" s="1" customFormat="1" x14ac:dyDescent="0.25">
      <c r="I1350" s="8"/>
      <c r="K1350" s="8"/>
      <c r="L1350" s="8"/>
      <c r="M1350" s="8"/>
      <c r="N1350" s="8"/>
      <c r="O1350" s="8"/>
      <c r="P1350" s="8"/>
      <c r="Q1350" s="8"/>
    </row>
    <row r="1351" spans="9:17" s="1" customFormat="1" x14ac:dyDescent="0.25">
      <c r="I1351" s="8"/>
      <c r="K1351" s="8"/>
      <c r="L1351" s="8"/>
      <c r="M1351" s="8"/>
      <c r="N1351" s="8"/>
      <c r="O1351" s="8"/>
      <c r="P1351" s="8"/>
      <c r="Q1351" s="8"/>
    </row>
    <row r="1352" spans="9:17" s="1" customFormat="1" x14ac:dyDescent="0.25">
      <c r="I1352" s="8"/>
      <c r="K1352" s="8"/>
      <c r="L1352" s="8"/>
      <c r="M1352" s="8"/>
      <c r="N1352" s="8"/>
      <c r="O1352" s="8"/>
      <c r="P1352" s="8"/>
      <c r="Q1352" s="8"/>
    </row>
    <row r="1353" spans="9:17" s="1" customFormat="1" x14ac:dyDescent="0.25">
      <c r="I1353" s="8"/>
      <c r="K1353" s="8"/>
      <c r="L1353" s="8"/>
      <c r="M1353" s="8"/>
      <c r="N1353" s="8"/>
      <c r="O1353" s="8"/>
      <c r="P1353" s="8"/>
      <c r="Q1353" s="8"/>
    </row>
    <row r="1354" spans="9:17" s="1" customFormat="1" x14ac:dyDescent="0.25">
      <c r="I1354" s="8"/>
      <c r="K1354" s="8"/>
      <c r="L1354" s="8"/>
      <c r="M1354" s="8"/>
      <c r="N1354" s="8"/>
      <c r="O1354" s="8"/>
      <c r="P1354" s="8"/>
      <c r="Q1354" s="8"/>
    </row>
    <row r="1355" spans="9:17" s="1" customFormat="1" x14ac:dyDescent="0.25">
      <c r="I1355" s="8"/>
      <c r="K1355" s="8"/>
      <c r="L1355" s="8"/>
      <c r="M1355" s="8"/>
      <c r="N1355" s="8"/>
      <c r="O1355" s="8"/>
      <c r="P1355" s="8"/>
      <c r="Q1355" s="8"/>
    </row>
    <row r="1356" spans="9:17" s="1" customFormat="1" x14ac:dyDescent="0.25">
      <c r="I1356" s="8"/>
      <c r="K1356" s="8"/>
      <c r="L1356" s="8"/>
      <c r="M1356" s="8"/>
      <c r="N1356" s="8"/>
      <c r="O1356" s="8"/>
      <c r="P1356" s="8"/>
      <c r="Q1356" s="8"/>
    </row>
    <row r="1357" spans="9:17" s="1" customFormat="1" x14ac:dyDescent="0.25">
      <c r="I1357" s="8"/>
      <c r="K1357" s="8"/>
      <c r="L1357" s="8"/>
      <c r="M1357" s="8"/>
      <c r="N1357" s="8"/>
      <c r="O1357" s="8"/>
      <c r="P1357" s="8"/>
      <c r="Q1357" s="8"/>
    </row>
    <row r="1358" spans="9:17" s="1" customFormat="1" x14ac:dyDescent="0.25">
      <c r="I1358" s="8"/>
      <c r="K1358" s="8"/>
      <c r="L1358" s="8"/>
      <c r="M1358" s="8"/>
      <c r="N1358" s="8"/>
      <c r="O1358" s="8"/>
      <c r="P1358" s="8"/>
      <c r="Q1358" s="8"/>
    </row>
    <row r="1359" spans="9:17" s="1" customFormat="1" x14ac:dyDescent="0.25">
      <c r="I1359" s="8"/>
      <c r="K1359" s="8"/>
      <c r="L1359" s="8"/>
      <c r="M1359" s="8"/>
      <c r="N1359" s="8"/>
      <c r="O1359" s="8"/>
      <c r="P1359" s="8"/>
      <c r="Q1359" s="8"/>
    </row>
    <row r="1360" spans="9:17" s="1" customFormat="1" x14ac:dyDescent="0.25">
      <c r="I1360" s="8"/>
      <c r="K1360" s="8"/>
      <c r="L1360" s="8"/>
      <c r="M1360" s="8"/>
      <c r="N1360" s="8"/>
      <c r="O1360" s="8"/>
      <c r="P1360" s="8"/>
      <c r="Q1360" s="8"/>
    </row>
    <row r="1361" spans="9:17" s="1" customFormat="1" x14ac:dyDescent="0.25">
      <c r="I1361" s="8"/>
      <c r="K1361" s="8"/>
      <c r="L1361" s="8"/>
      <c r="M1361" s="8"/>
      <c r="N1361" s="8"/>
      <c r="O1361" s="8"/>
      <c r="P1361" s="8"/>
      <c r="Q1361" s="8"/>
    </row>
    <row r="1362" spans="9:17" s="1" customFormat="1" x14ac:dyDescent="0.25">
      <c r="I1362" s="8"/>
      <c r="K1362" s="8"/>
      <c r="L1362" s="8"/>
      <c r="M1362" s="8"/>
      <c r="N1362" s="8"/>
      <c r="O1362" s="8"/>
      <c r="P1362" s="8"/>
      <c r="Q1362" s="8"/>
    </row>
    <row r="1363" spans="9:17" s="1" customFormat="1" x14ac:dyDescent="0.25">
      <c r="I1363" s="8"/>
      <c r="K1363" s="8"/>
      <c r="L1363" s="8"/>
      <c r="M1363" s="8"/>
      <c r="N1363" s="8"/>
      <c r="O1363" s="8"/>
      <c r="P1363" s="8"/>
      <c r="Q1363" s="8"/>
    </row>
    <row r="1364" spans="9:17" s="1" customFormat="1" x14ac:dyDescent="0.25">
      <c r="I1364" s="8"/>
      <c r="K1364" s="8"/>
      <c r="L1364" s="8"/>
      <c r="M1364" s="8"/>
      <c r="N1364" s="8"/>
      <c r="O1364" s="8"/>
      <c r="P1364" s="8"/>
      <c r="Q1364" s="8"/>
    </row>
    <row r="1365" spans="9:17" s="1" customFormat="1" x14ac:dyDescent="0.25">
      <c r="I1365" s="8"/>
      <c r="K1365" s="8"/>
      <c r="L1365" s="8"/>
      <c r="M1365" s="8"/>
      <c r="N1365" s="8"/>
      <c r="O1365" s="8"/>
      <c r="P1365" s="8"/>
      <c r="Q1365" s="8"/>
    </row>
    <row r="1366" spans="9:17" s="1" customFormat="1" x14ac:dyDescent="0.25">
      <c r="I1366" s="8"/>
      <c r="K1366" s="8"/>
      <c r="L1366" s="8"/>
      <c r="M1366" s="8"/>
      <c r="N1366" s="8"/>
      <c r="O1366" s="8"/>
      <c r="P1366" s="8"/>
      <c r="Q1366" s="8"/>
    </row>
    <row r="1367" spans="9:17" s="1" customFormat="1" x14ac:dyDescent="0.25">
      <c r="I1367" s="8"/>
      <c r="K1367" s="8"/>
      <c r="L1367" s="8"/>
      <c r="M1367" s="8"/>
      <c r="N1367" s="8"/>
      <c r="O1367" s="8"/>
      <c r="P1367" s="8"/>
      <c r="Q1367" s="8"/>
    </row>
    <row r="1368" spans="9:17" s="1" customFormat="1" x14ac:dyDescent="0.25">
      <c r="I1368" s="8"/>
      <c r="K1368" s="8"/>
      <c r="L1368" s="8"/>
      <c r="M1368" s="8"/>
      <c r="N1368" s="8"/>
      <c r="O1368" s="8"/>
      <c r="P1368" s="8"/>
      <c r="Q1368" s="8"/>
    </row>
    <row r="1369" spans="9:17" s="1" customFormat="1" x14ac:dyDescent="0.25">
      <c r="I1369" s="8"/>
      <c r="K1369" s="8"/>
      <c r="L1369" s="8"/>
      <c r="M1369" s="8"/>
      <c r="N1369" s="8"/>
      <c r="O1369" s="8"/>
      <c r="P1369" s="8"/>
      <c r="Q1369" s="8"/>
    </row>
    <row r="1370" spans="9:17" s="1" customFormat="1" x14ac:dyDescent="0.25">
      <c r="I1370" s="8"/>
      <c r="K1370" s="8"/>
      <c r="L1370" s="8"/>
      <c r="M1370" s="8"/>
      <c r="N1370" s="8"/>
      <c r="O1370" s="8"/>
      <c r="P1370" s="8"/>
      <c r="Q1370" s="8"/>
    </row>
    <row r="1371" spans="9:17" s="1" customFormat="1" x14ac:dyDescent="0.25">
      <c r="I1371" s="8"/>
      <c r="K1371" s="8"/>
      <c r="L1371" s="8"/>
      <c r="M1371" s="8"/>
      <c r="N1371" s="8"/>
      <c r="O1371" s="8"/>
      <c r="P1371" s="8"/>
      <c r="Q1371" s="8"/>
    </row>
    <row r="1372" spans="9:17" s="1" customFormat="1" x14ac:dyDescent="0.25">
      <c r="I1372" s="8"/>
      <c r="K1372" s="8"/>
      <c r="L1372" s="8"/>
      <c r="M1372" s="8"/>
      <c r="N1372" s="8"/>
      <c r="O1372" s="8"/>
      <c r="P1372" s="8"/>
      <c r="Q1372" s="8"/>
    </row>
    <row r="1373" spans="9:17" s="1" customFormat="1" x14ac:dyDescent="0.25">
      <c r="I1373" s="8"/>
      <c r="K1373" s="8"/>
      <c r="L1373" s="8"/>
      <c r="M1373" s="8"/>
      <c r="N1373" s="8"/>
      <c r="O1373" s="8"/>
      <c r="P1373" s="8"/>
      <c r="Q1373" s="8"/>
    </row>
    <row r="1374" spans="9:17" s="1" customFormat="1" x14ac:dyDescent="0.25">
      <c r="I1374" s="8"/>
      <c r="K1374" s="8"/>
      <c r="L1374" s="8"/>
      <c r="M1374" s="8"/>
      <c r="N1374" s="8"/>
      <c r="O1374" s="8"/>
      <c r="P1374" s="8"/>
      <c r="Q1374" s="8"/>
    </row>
    <row r="1375" spans="9:17" s="1" customFormat="1" x14ac:dyDescent="0.25">
      <c r="I1375" s="8"/>
      <c r="K1375" s="8"/>
      <c r="L1375" s="8"/>
      <c r="M1375" s="8"/>
      <c r="N1375" s="8"/>
      <c r="O1375" s="8"/>
      <c r="P1375" s="8"/>
      <c r="Q1375" s="8"/>
    </row>
    <row r="1376" spans="9:17" s="1" customFormat="1" x14ac:dyDescent="0.25">
      <c r="I1376" s="8"/>
      <c r="K1376" s="8"/>
      <c r="L1376" s="8"/>
      <c r="M1376" s="8"/>
      <c r="N1376" s="8"/>
      <c r="O1376" s="8"/>
      <c r="P1376" s="8"/>
      <c r="Q1376" s="8"/>
    </row>
    <row r="1377" spans="9:17" s="1" customFormat="1" x14ac:dyDescent="0.25">
      <c r="I1377" s="8"/>
      <c r="K1377" s="8"/>
      <c r="L1377" s="8"/>
      <c r="M1377" s="8"/>
      <c r="N1377" s="8"/>
      <c r="O1377" s="8"/>
      <c r="P1377" s="8"/>
      <c r="Q1377" s="8"/>
    </row>
    <row r="1378" spans="9:17" s="1" customFormat="1" x14ac:dyDescent="0.25">
      <c r="I1378" s="8"/>
      <c r="K1378" s="8"/>
      <c r="L1378" s="8"/>
      <c r="M1378" s="8"/>
      <c r="N1378" s="8"/>
      <c r="O1378" s="8"/>
      <c r="P1378" s="8"/>
      <c r="Q1378" s="8"/>
    </row>
    <row r="1379" spans="9:17" s="1" customFormat="1" x14ac:dyDescent="0.25">
      <c r="I1379" s="8"/>
      <c r="K1379" s="8"/>
      <c r="L1379" s="8"/>
      <c r="M1379" s="8"/>
      <c r="N1379" s="8"/>
      <c r="O1379" s="8"/>
      <c r="P1379" s="8"/>
      <c r="Q1379" s="8"/>
    </row>
    <row r="1380" spans="9:17" s="1" customFormat="1" x14ac:dyDescent="0.25">
      <c r="I1380" s="8"/>
      <c r="K1380" s="8"/>
      <c r="L1380" s="8"/>
      <c r="M1380" s="8"/>
      <c r="N1380" s="8"/>
      <c r="O1380" s="8"/>
      <c r="P1380" s="8"/>
      <c r="Q1380" s="8"/>
    </row>
    <row r="1381" spans="9:17" s="1" customFormat="1" x14ac:dyDescent="0.25">
      <c r="I1381" s="8"/>
      <c r="K1381" s="8"/>
      <c r="L1381" s="8"/>
      <c r="M1381" s="8"/>
      <c r="N1381" s="8"/>
      <c r="O1381" s="8"/>
      <c r="P1381" s="8"/>
      <c r="Q1381" s="8"/>
    </row>
    <row r="1382" spans="9:17" s="1" customFormat="1" x14ac:dyDescent="0.25">
      <c r="I1382" s="8"/>
      <c r="K1382" s="8"/>
      <c r="L1382" s="8"/>
      <c r="M1382" s="8"/>
      <c r="N1382" s="8"/>
      <c r="O1382" s="8"/>
      <c r="P1382" s="8"/>
      <c r="Q1382" s="8"/>
    </row>
    <row r="1383" spans="9:17" s="1" customFormat="1" x14ac:dyDescent="0.25">
      <c r="I1383" s="8"/>
      <c r="K1383" s="8"/>
      <c r="L1383" s="8"/>
      <c r="M1383" s="8"/>
      <c r="N1383" s="8"/>
      <c r="O1383" s="8"/>
      <c r="P1383" s="8"/>
      <c r="Q1383" s="8"/>
    </row>
    <row r="1384" spans="9:17" s="1" customFormat="1" x14ac:dyDescent="0.25">
      <c r="I1384" s="8"/>
      <c r="K1384" s="8"/>
      <c r="L1384" s="8"/>
      <c r="M1384" s="8"/>
      <c r="N1384" s="8"/>
      <c r="O1384" s="8"/>
      <c r="P1384" s="8"/>
      <c r="Q1384" s="8"/>
    </row>
    <row r="1385" spans="9:17" s="1" customFormat="1" x14ac:dyDescent="0.25">
      <c r="I1385" s="8"/>
      <c r="K1385" s="8"/>
      <c r="L1385" s="8"/>
      <c r="M1385" s="8"/>
      <c r="N1385" s="8"/>
      <c r="O1385" s="8"/>
      <c r="P1385" s="8"/>
      <c r="Q1385" s="8"/>
    </row>
    <row r="1386" spans="9:17" s="1" customFormat="1" x14ac:dyDescent="0.25">
      <c r="I1386" s="8"/>
      <c r="K1386" s="8"/>
      <c r="L1386" s="8"/>
      <c r="M1386" s="8"/>
      <c r="N1386" s="8"/>
      <c r="O1386" s="8"/>
      <c r="P1386" s="8"/>
      <c r="Q1386" s="8"/>
    </row>
    <row r="1387" spans="9:17" s="1" customFormat="1" x14ac:dyDescent="0.25">
      <c r="I1387" s="8"/>
      <c r="K1387" s="8"/>
      <c r="L1387" s="8"/>
      <c r="M1387" s="8"/>
      <c r="N1387" s="8"/>
      <c r="O1387" s="8"/>
      <c r="P1387" s="8"/>
      <c r="Q1387" s="8"/>
    </row>
    <row r="1388" spans="9:17" s="1" customFormat="1" x14ac:dyDescent="0.25">
      <c r="I1388" s="8"/>
      <c r="K1388" s="8"/>
      <c r="L1388" s="8"/>
      <c r="M1388" s="8"/>
      <c r="N1388" s="8"/>
      <c r="O1388" s="8"/>
      <c r="P1388" s="8"/>
      <c r="Q1388" s="8"/>
    </row>
    <row r="1389" spans="9:17" s="1" customFormat="1" x14ac:dyDescent="0.25">
      <c r="I1389" s="8"/>
      <c r="K1389" s="8"/>
      <c r="L1389" s="8"/>
      <c r="M1389" s="8"/>
      <c r="N1389" s="8"/>
      <c r="O1389" s="8"/>
      <c r="P1389" s="8"/>
      <c r="Q1389" s="8"/>
    </row>
    <row r="1390" spans="9:17" s="1" customFormat="1" x14ac:dyDescent="0.25">
      <c r="I1390" s="8"/>
      <c r="K1390" s="8"/>
      <c r="L1390" s="8"/>
      <c r="M1390" s="8"/>
      <c r="N1390" s="8"/>
      <c r="O1390" s="8"/>
      <c r="P1390" s="8"/>
      <c r="Q1390" s="8"/>
    </row>
    <row r="1391" spans="9:17" s="1" customFormat="1" x14ac:dyDescent="0.25">
      <c r="I1391" s="8"/>
      <c r="K1391" s="8"/>
      <c r="L1391" s="8"/>
      <c r="M1391" s="8"/>
      <c r="N1391" s="8"/>
      <c r="O1391" s="8"/>
      <c r="P1391" s="8"/>
      <c r="Q1391" s="8"/>
    </row>
    <row r="1392" spans="9:17" s="1" customFormat="1" x14ac:dyDescent="0.25">
      <c r="I1392" s="8"/>
      <c r="K1392" s="8"/>
      <c r="L1392" s="8"/>
      <c r="M1392" s="8"/>
      <c r="N1392" s="8"/>
      <c r="O1392" s="8"/>
      <c r="P1392" s="8"/>
      <c r="Q1392" s="8"/>
    </row>
    <row r="1393" spans="9:17" s="1" customFormat="1" x14ac:dyDescent="0.25">
      <c r="I1393" s="8"/>
      <c r="K1393" s="8"/>
      <c r="L1393" s="8"/>
      <c r="M1393" s="8"/>
      <c r="N1393" s="8"/>
      <c r="O1393" s="8"/>
      <c r="P1393" s="8"/>
      <c r="Q1393" s="8"/>
    </row>
    <row r="1394" spans="9:17" s="1" customFormat="1" x14ac:dyDescent="0.25">
      <c r="I1394" s="8"/>
      <c r="K1394" s="8"/>
      <c r="L1394" s="8"/>
      <c r="M1394" s="8"/>
      <c r="N1394" s="8"/>
      <c r="O1394" s="8"/>
      <c r="P1394" s="8"/>
      <c r="Q1394" s="8"/>
    </row>
    <row r="1395" spans="9:17" s="1" customFormat="1" x14ac:dyDescent="0.25">
      <c r="I1395" s="8"/>
      <c r="K1395" s="8"/>
      <c r="L1395" s="8"/>
      <c r="M1395" s="8"/>
      <c r="N1395" s="8"/>
      <c r="O1395" s="8"/>
      <c r="P1395" s="8"/>
      <c r="Q1395" s="8"/>
    </row>
    <row r="1396" spans="9:17" s="1" customFormat="1" x14ac:dyDescent="0.25">
      <c r="I1396" s="8"/>
      <c r="K1396" s="8"/>
      <c r="L1396" s="8"/>
      <c r="M1396" s="8"/>
      <c r="N1396" s="8"/>
      <c r="O1396" s="8"/>
      <c r="P1396" s="8"/>
      <c r="Q1396" s="8"/>
    </row>
    <row r="1397" spans="9:17" s="1" customFormat="1" x14ac:dyDescent="0.25">
      <c r="I1397" s="8"/>
      <c r="K1397" s="8"/>
      <c r="L1397" s="8"/>
      <c r="M1397" s="8"/>
      <c r="N1397" s="8"/>
      <c r="O1397" s="8"/>
      <c r="P1397" s="8"/>
      <c r="Q1397" s="8"/>
    </row>
    <row r="1398" spans="9:17" s="1" customFormat="1" x14ac:dyDescent="0.25">
      <c r="I1398" s="8"/>
      <c r="K1398" s="8"/>
      <c r="L1398" s="8"/>
      <c r="M1398" s="8"/>
      <c r="N1398" s="8"/>
      <c r="O1398" s="8"/>
      <c r="P1398" s="8"/>
      <c r="Q1398" s="8"/>
    </row>
    <row r="1399" spans="9:17" s="1" customFormat="1" x14ac:dyDescent="0.25">
      <c r="I1399" s="8"/>
      <c r="K1399" s="8"/>
      <c r="L1399" s="8"/>
      <c r="M1399" s="8"/>
      <c r="N1399" s="8"/>
      <c r="O1399" s="8"/>
      <c r="P1399" s="8"/>
      <c r="Q1399" s="8"/>
    </row>
    <row r="1400" spans="9:17" s="1" customFormat="1" x14ac:dyDescent="0.25">
      <c r="I1400" s="8"/>
      <c r="K1400" s="8"/>
      <c r="L1400" s="8"/>
      <c r="M1400" s="8"/>
      <c r="N1400" s="8"/>
      <c r="O1400" s="8"/>
      <c r="P1400" s="8"/>
      <c r="Q1400" s="8"/>
    </row>
    <row r="1401" spans="9:17" s="1" customFormat="1" x14ac:dyDescent="0.25">
      <c r="I1401" s="8"/>
      <c r="K1401" s="8"/>
      <c r="L1401" s="8"/>
      <c r="M1401" s="8"/>
      <c r="N1401" s="8"/>
      <c r="O1401" s="8"/>
      <c r="P1401" s="8"/>
      <c r="Q1401" s="8"/>
    </row>
    <row r="1402" spans="9:17" s="1" customFormat="1" x14ac:dyDescent="0.25">
      <c r="I1402" s="8"/>
      <c r="K1402" s="8"/>
      <c r="L1402" s="8"/>
      <c r="M1402" s="8"/>
      <c r="N1402" s="8"/>
      <c r="O1402" s="8"/>
      <c r="P1402" s="8"/>
      <c r="Q1402" s="8"/>
    </row>
    <row r="1403" spans="9:17" s="1" customFormat="1" x14ac:dyDescent="0.25">
      <c r="I1403" s="8"/>
      <c r="K1403" s="8"/>
      <c r="L1403" s="8"/>
      <c r="M1403" s="8"/>
      <c r="N1403" s="8"/>
      <c r="O1403" s="8"/>
      <c r="P1403" s="8"/>
      <c r="Q1403" s="8"/>
    </row>
    <row r="1404" spans="9:17" s="1" customFormat="1" x14ac:dyDescent="0.25">
      <c r="I1404" s="8"/>
      <c r="K1404" s="8"/>
      <c r="L1404" s="8"/>
      <c r="M1404" s="8"/>
      <c r="N1404" s="8"/>
      <c r="O1404" s="8"/>
      <c r="P1404" s="8"/>
      <c r="Q1404" s="8"/>
    </row>
    <row r="1405" spans="9:17" s="1" customFormat="1" x14ac:dyDescent="0.25">
      <c r="I1405" s="8"/>
      <c r="K1405" s="8"/>
      <c r="L1405" s="8"/>
      <c r="M1405" s="8"/>
      <c r="N1405" s="8"/>
      <c r="O1405" s="8"/>
      <c r="P1405" s="8"/>
      <c r="Q1405" s="8"/>
    </row>
    <row r="1406" spans="9:17" s="1" customFormat="1" x14ac:dyDescent="0.25">
      <c r="I1406" s="8"/>
      <c r="K1406" s="8"/>
      <c r="L1406" s="8"/>
      <c r="M1406" s="8"/>
      <c r="N1406" s="8"/>
      <c r="O1406" s="8"/>
      <c r="P1406" s="8"/>
      <c r="Q1406" s="8"/>
    </row>
    <row r="1407" spans="9:17" s="1" customFormat="1" x14ac:dyDescent="0.25">
      <c r="I1407" s="8"/>
      <c r="K1407" s="8"/>
      <c r="L1407" s="8"/>
      <c r="M1407" s="8"/>
      <c r="N1407" s="8"/>
      <c r="O1407" s="8"/>
      <c r="P1407" s="8"/>
      <c r="Q1407" s="8"/>
    </row>
    <row r="1408" spans="9:17" s="1" customFormat="1" x14ac:dyDescent="0.25">
      <c r="I1408" s="8"/>
      <c r="K1408" s="8"/>
      <c r="L1408" s="8"/>
      <c r="M1408" s="8"/>
      <c r="N1408" s="8"/>
      <c r="O1408" s="8"/>
      <c r="P1408" s="8"/>
      <c r="Q1408" s="8"/>
    </row>
    <row r="1409" spans="9:17" s="1" customFormat="1" x14ac:dyDescent="0.25">
      <c r="I1409" s="8"/>
      <c r="K1409" s="8"/>
      <c r="L1409" s="8"/>
      <c r="M1409" s="8"/>
      <c r="N1409" s="8"/>
      <c r="O1409" s="8"/>
      <c r="P1409" s="8"/>
      <c r="Q1409" s="8"/>
    </row>
    <row r="1410" spans="9:17" s="1" customFormat="1" x14ac:dyDescent="0.25">
      <c r="I1410" s="8"/>
      <c r="K1410" s="8"/>
      <c r="L1410" s="8"/>
      <c r="M1410" s="8"/>
      <c r="N1410" s="8"/>
      <c r="O1410" s="8"/>
      <c r="P1410" s="8"/>
      <c r="Q1410" s="8"/>
    </row>
    <row r="1411" spans="9:17" s="1" customFormat="1" x14ac:dyDescent="0.25">
      <c r="I1411" s="8"/>
      <c r="K1411" s="8"/>
      <c r="L1411" s="8"/>
      <c r="M1411" s="8"/>
      <c r="N1411" s="8"/>
      <c r="O1411" s="8"/>
      <c r="P1411" s="8"/>
      <c r="Q1411" s="8"/>
    </row>
    <row r="1412" spans="9:17" s="1" customFormat="1" x14ac:dyDescent="0.25">
      <c r="I1412" s="8"/>
      <c r="K1412" s="8"/>
      <c r="L1412" s="8"/>
      <c r="M1412" s="8"/>
      <c r="N1412" s="8"/>
      <c r="O1412" s="8"/>
      <c r="P1412" s="8"/>
      <c r="Q1412" s="8"/>
    </row>
    <row r="1413" spans="9:17" s="1" customFormat="1" x14ac:dyDescent="0.25">
      <c r="I1413" s="8"/>
      <c r="K1413" s="8"/>
      <c r="L1413" s="8"/>
      <c r="M1413" s="8"/>
      <c r="N1413" s="8"/>
      <c r="O1413" s="8"/>
      <c r="P1413" s="8"/>
      <c r="Q1413" s="8"/>
    </row>
    <row r="1414" spans="9:17" s="1" customFormat="1" x14ac:dyDescent="0.25">
      <c r="I1414" s="8"/>
      <c r="K1414" s="8"/>
      <c r="L1414" s="8"/>
      <c r="M1414" s="8"/>
      <c r="N1414" s="8"/>
      <c r="O1414" s="8"/>
      <c r="P1414" s="8"/>
      <c r="Q1414" s="8"/>
    </row>
    <row r="1415" spans="9:17" s="1" customFormat="1" x14ac:dyDescent="0.25">
      <c r="I1415" s="8"/>
      <c r="K1415" s="8"/>
      <c r="L1415" s="8"/>
      <c r="M1415" s="8"/>
      <c r="N1415" s="8"/>
      <c r="O1415" s="8"/>
      <c r="P1415" s="8"/>
      <c r="Q1415" s="8"/>
    </row>
    <row r="1416" spans="9:17" s="1" customFormat="1" x14ac:dyDescent="0.25">
      <c r="I1416" s="8"/>
      <c r="K1416" s="8"/>
      <c r="L1416" s="8"/>
      <c r="M1416" s="8"/>
      <c r="N1416" s="8"/>
      <c r="O1416" s="8"/>
      <c r="P1416" s="8"/>
      <c r="Q1416" s="8"/>
    </row>
    <row r="1417" spans="9:17" s="1" customFormat="1" x14ac:dyDescent="0.25">
      <c r="I1417" s="8"/>
      <c r="K1417" s="8"/>
      <c r="L1417" s="8"/>
      <c r="M1417" s="8"/>
      <c r="N1417" s="8"/>
      <c r="O1417" s="8"/>
      <c r="P1417" s="8"/>
      <c r="Q1417" s="8"/>
    </row>
    <row r="1418" spans="9:17" s="1" customFormat="1" x14ac:dyDescent="0.25">
      <c r="I1418" s="8"/>
      <c r="K1418" s="8"/>
      <c r="L1418" s="8"/>
      <c r="M1418" s="8"/>
      <c r="N1418" s="8"/>
      <c r="O1418" s="8"/>
      <c r="P1418" s="8"/>
      <c r="Q1418" s="8"/>
    </row>
    <row r="1419" spans="9:17" s="1" customFormat="1" x14ac:dyDescent="0.25">
      <c r="I1419" s="8"/>
      <c r="K1419" s="8"/>
      <c r="L1419" s="8"/>
      <c r="M1419" s="8"/>
      <c r="N1419" s="8"/>
      <c r="O1419" s="8"/>
      <c r="P1419" s="8"/>
      <c r="Q1419" s="8"/>
    </row>
    <row r="1420" spans="9:17" s="1" customFormat="1" x14ac:dyDescent="0.25">
      <c r="I1420" s="8"/>
      <c r="K1420" s="8"/>
      <c r="L1420" s="8"/>
      <c r="M1420" s="8"/>
      <c r="N1420" s="8"/>
      <c r="O1420" s="8"/>
      <c r="P1420" s="8"/>
      <c r="Q1420" s="8"/>
    </row>
    <row r="1421" spans="9:17" s="1" customFormat="1" x14ac:dyDescent="0.25">
      <c r="I1421" s="8"/>
      <c r="K1421" s="8"/>
      <c r="L1421" s="8"/>
      <c r="M1421" s="8"/>
      <c r="N1421" s="8"/>
      <c r="O1421" s="8"/>
      <c r="P1421" s="8"/>
      <c r="Q1421" s="8"/>
    </row>
    <row r="1422" spans="9:17" s="1" customFormat="1" x14ac:dyDescent="0.25">
      <c r="I1422" s="8"/>
      <c r="K1422" s="8"/>
      <c r="L1422" s="8"/>
      <c r="M1422" s="8"/>
      <c r="N1422" s="8"/>
      <c r="O1422" s="8"/>
      <c r="P1422" s="8"/>
      <c r="Q1422" s="8"/>
    </row>
    <row r="1423" spans="9:17" s="1" customFormat="1" x14ac:dyDescent="0.25">
      <c r="I1423" s="8"/>
      <c r="K1423" s="8"/>
      <c r="L1423" s="8"/>
      <c r="M1423" s="8"/>
      <c r="N1423" s="8"/>
      <c r="O1423" s="8"/>
      <c r="P1423" s="8"/>
      <c r="Q1423" s="8"/>
    </row>
    <row r="1424" spans="9:17" s="1" customFormat="1" x14ac:dyDescent="0.25">
      <c r="I1424" s="8"/>
      <c r="K1424" s="8"/>
      <c r="L1424" s="8"/>
      <c r="M1424" s="8"/>
      <c r="N1424" s="8"/>
      <c r="O1424" s="8"/>
      <c r="P1424" s="8"/>
      <c r="Q1424" s="8"/>
    </row>
    <row r="1425" spans="9:17" s="1" customFormat="1" x14ac:dyDescent="0.25">
      <c r="I1425" s="8"/>
      <c r="K1425" s="8"/>
      <c r="L1425" s="8"/>
      <c r="M1425" s="8"/>
      <c r="N1425" s="8"/>
      <c r="O1425" s="8"/>
      <c r="P1425" s="8"/>
      <c r="Q1425" s="8"/>
    </row>
    <row r="1426" spans="9:17" s="1" customFormat="1" x14ac:dyDescent="0.25">
      <c r="I1426" s="8"/>
      <c r="K1426" s="8"/>
      <c r="L1426" s="8"/>
      <c r="M1426" s="8"/>
      <c r="N1426" s="8"/>
      <c r="O1426" s="8"/>
      <c r="P1426" s="8"/>
      <c r="Q1426" s="8"/>
    </row>
    <row r="1427" spans="9:17" s="1" customFormat="1" x14ac:dyDescent="0.25">
      <c r="I1427" s="8"/>
      <c r="K1427" s="8"/>
      <c r="L1427" s="8"/>
      <c r="M1427" s="8"/>
      <c r="N1427" s="8"/>
      <c r="O1427" s="8"/>
      <c r="P1427" s="8"/>
      <c r="Q1427" s="8"/>
    </row>
    <row r="1428" spans="9:17" s="1" customFormat="1" x14ac:dyDescent="0.25">
      <c r="I1428" s="8"/>
      <c r="K1428" s="8"/>
      <c r="L1428" s="8"/>
      <c r="M1428" s="8"/>
      <c r="N1428" s="8"/>
      <c r="O1428" s="8"/>
      <c r="P1428" s="8"/>
      <c r="Q1428" s="8"/>
    </row>
    <row r="1429" spans="9:17" s="1" customFormat="1" x14ac:dyDescent="0.25">
      <c r="I1429" s="8"/>
      <c r="K1429" s="8"/>
      <c r="L1429" s="8"/>
      <c r="M1429" s="8"/>
      <c r="N1429" s="8"/>
      <c r="O1429" s="8"/>
      <c r="P1429" s="8"/>
      <c r="Q1429" s="8"/>
    </row>
    <row r="1430" spans="9:17" s="1" customFormat="1" x14ac:dyDescent="0.25">
      <c r="I1430" s="8"/>
      <c r="K1430" s="8"/>
      <c r="L1430" s="8"/>
      <c r="M1430" s="8"/>
      <c r="N1430" s="8"/>
      <c r="O1430" s="8"/>
      <c r="P1430" s="8"/>
      <c r="Q1430" s="8"/>
    </row>
    <row r="1431" spans="9:17" s="1" customFormat="1" x14ac:dyDescent="0.25">
      <c r="I1431" s="8"/>
      <c r="K1431" s="8"/>
      <c r="L1431" s="8"/>
      <c r="M1431" s="8"/>
      <c r="N1431" s="8"/>
      <c r="O1431" s="8"/>
      <c r="P1431" s="8"/>
      <c r="Q1431" s="8"/>
    </row>
    <row r="1432" spans="9:17" s="1" customFormat="1" x14ac:dyDescent="0.25">
      <c r="I1432" s="8"/>
      <c r="K1432" s="8"/>
      <c r="L1432" s="8"/>
      <c r="M1432" s="8"/>
      <c r="N1432" s="8"/>
      <c r="O1432" s="8"/>
      <c r="P1432" s="8"/>
      <c r="Q1432" s="8"/>
    </row>
    <row r="1433" spans="9:17" s="1" customFormat="1" x14ac:dyDescent="0.25">
      <c r="I1433" s="8"/>
      <c r="K1433" s="8"/>
      <c r="L1433" s="8"/>
      <c r="M1433" s="8"/>
      <c r="N1433" s="8"/>
      <c r="O1433" s="8"/>
      <c r="P1433" s="8"/>
      <c r="Q1433" s="8"/>
    </row>
    <row r="1434" spans="9:17" s="1" customFormat="1" x14ac:dyDescent="0.25">
      <c r="I1434" s="8"/>
      <c r="K1434" s="8"/>
      <c r="L1434" s="8"/>
      <c r="M1434" s="8"/>
      <c r="N1434" s="8"/>
      <c r="O1434" s="8"/>
      <c r="P1434" s="8"/>
      <c r="Q1434" s="8"/>
    </row>
    <row r="1435" spans="9:17" s="1" customFormat="1" x14ac:dyDescent="0.25">
      <c r="I1435" s="8"/>
      <c r="K1435" s="8"/>
      <c r="L1435" s="8"/>
      <c r="M1435" s="8"/>
      <c r="N1435" s="8"/>
      <c r="O1435" s="8"/>
      <c r="P1435" s="8"/>
      <c r="Q1435" s="8"/>
    </row>
    <row r="1436" spans="9:17" s="1" customFormat="1" x14ac:dyDescent="0.25">
      <c r="I1436" s="8"/>
      <c r="K1436" s="8"/>
      <c r="L1436" s="8"/>
      <c r="M1436" s="8"/>
      <c r="N1436" s="8"/>
      <c r="O1436" s="8"/>
      <c r="P1436" s="8"/>
      <c r="Q1436" s="8"/>
    </row>
    <row r="1437" spans="9:17" s="1" customFormat="1" x14ac:dyDescent="0.25">
      <c r="I1437" s="8"/>
      <c r="K1437" s="8"/>
      <c r="L1437" s="8"/>
      <c r="M1437" s="8"/>
      <c r="N1437" s="8"/>
      <c r="O1437" s="8"/>
      <c r="P1437" s="8"/>
      <c r="Q1437" s="8"/>
    </row>
    <row r="1438" spans="9:17" s="1" customFormat="1" x14ac:dyDescent="0.25">
      <c r="I1438" s="8"/>
      <c r="K1438" s="8"/>
      <c r="L1438" s="8"/>
      <c r="M1438" s="8"/>
      <c r="N1438" s="8"/>
      <c r="O1438" s="8"/>
      <c r="P1438" s="8"/>
      <c r="Q1438" s="8"/>
    </row>
    <row r="1439" spans="9:17" s="1" customFormat="1" x14ac:dyDescent="0.25">
      <c r="I1439" s="8"/>
      <c r="K1439" s="8"/>
      <c r="L1439" s="8"/>
      <c r="M1439" s="8"/>
      <c r="N1439" s="8"/>
      <c r="O1439" s="8"/>
      <c r="P1439" s="8"/>
      <c r="Q1439" s="8"/>
    </row>
    <row r="1440" spans="9:17" s="1" customFormat="1" x14ac:dyDescent="0.25">
      <c r="I1440" s="8"/>
      <c r="K1440" s="8"/>
      <c r="L1440" s="8"/>
      <c r="M1440" s="8"/>
      <c r="N1440" s="8"/>
      <c r="O1440" s="8"/>
      <c r="P1440" s="8"/>
      <c r="Q1440" s="8"/>
    </row>
    <row r="1441" spans="9:17" s="1" customFormat="1" x14ac:dyDescent="0.25">
      <c r="I1441" s="8"/>
      <c r="K1441" s="8"/>
      <c r="L1441" s="8"/>
      <c r="M1441" s="8"/>
      <c r="N1441" s="8"/>
      <c r="O1441" s="8"/>
      <c r="P1441" s="8"/>
      <c r="Q1441" s="8"/>
    </row>
    <row r="1442" spans="9:17" s="1" customFormat="1" x14ac:dyDescent="0.25">
      <c r="I1442" s="8"/>
      <c r="K1442" s="8"/>
      <c r="L1442" s="8"/>
      <c r="M1442" s="8"/>
      <c r="N1442" s="8"/>
      <c r="O1442" s="8"/>
      <c r="P1442" s="8"/>
      <c r="Q1442" s="8"/>
    </row>
    <row r="1443" spans="9:17" s="1" customFormat="1" x14ac:dyDescent="0.25">
      <c r="I1443" s="8"/>
      <c r="K1443" s="8"/>
      <c r="L1443" s="8"/>
      <c r="M1443" s="8"/>
      <c r="N1443" s="8"/>
      <c r="O1443" s="8"/>
      <c r="P1443" s="8"/>
      <c r="Q1443" s="8"/>
    </row>
    <row r="1444" spans="9:17" s="1" customFormat="1" x14ac:dyDescent="0.25">
      <c r="I1444" s="8"/>
      <c r="K1444" s="8"/>
      <c r="L1444" s="8"/>
      <c r="M1444" s="8"/>
      <c r="N1444" s="8"/>
      <c r="O1444" s="8"/>
      <c r="P1444" s="8"/>
      <c r="Q1444" s="8"/>
    </row>
    <row r="1445" spans="9:17" s="1" customFormat="1" x14ac:dyDescent="0.25">
      <c r="I1445" s="8"/>
      <c r="K1445" s="8"/>
      <c r="L1445" s="8"/>
      <c r="M1445" s="8"/>
      <c r="N1445" s="8"/>
      <c r="O1445" s="8"/>
      <c r="P1445" s="8"/>
      <c r="Q1445" s="8"/>
    </row>
    <row r="1446" spans="9:17" s="1" customFormat="1" x14ac:dyDescent="0.25">
      <c r="I1446" s="8"/>
      <c r="K1446" s="8"/>
      <c r="L1446" s="8"/>
      <c r="M1446" s="8"/>
      <c r="N1446" s="8"/>
      <c r="O1446" s="8"/>
      <c r="P1446" s="8"/>
      <c r="Q1446" s="8"/>
    </row>
    <row r="1447" spans="9:17" s="1" customFormat="1" x14ac:dyDescent="0.25">
      <c r="I1447" s="8"/>
      <c r="K1447" s="8"/>
      <c r="L1447" s="8"/>
      <c r="M1447" s="8"/>
      <c r="N1447" s="8"/>
      <c r="O1447" s="8"/>
      <c r="P1447" s="8"/>
      <c r="Q1447" s="8"/>
    </row>
    <row r="1448" spans="9:17" s="1" customFormat="1" x14ac:dyDescent="0.25">
      <c r="I1448" s="8"/>
      <c r="K1448" s="8"/>
      <c r="L1448" s="8"/>
      <c r="M1448" s="8"/>
      <c r="N1448" s="8"/>
      <c r="O1448" s="8"/>
      <c r="P1448" s="8"/>
      <c r="Q1448" s="8"/>
    </row>
    <row r="1449" spans="9:17" s="1" customFormat="1" x14ac:dyDescent="0.25">
      <c r="I1449" s="8"/>
      <c r="K1449" s="8"/>
      <c r="L1449" s="8"/>
      <c r="M1449" s="8"/>
      <c r="N1449" s="8"/>
      <c r="O1449" s="8"/>
      <c r="P1449" s="8"/>
      <c r="Q1449" s="8"/>
    </row>
    <row r="1450" spans="9:17" s="1" customFormat="1" x14ac:dyDescent="0.25">
      <c r="I1450" s="8"/>
      <c r="K1450" s="8"/>
      <c r="L1450" s="8"/>
      <c r="M1450" s="8"/>
      <c r="N1450" s="8"/>
      <c r="O1450" s="8"/>
      <c r="P1450" s="8"/>
      <c r="Q1450" s="8"/>
    </row>
    <row r="1451" spans="9:17" s="1" customFormat="1" x14ac:dyDescent="0.25">
      <c r="I1451" s="8"/>
      <c r="K1451" s="8"/>
      <c r="L1451" s="8"/>
      <c r="M1451" s="8"/>
      <c r="N1451" s="8"/>
      <c r="O1451" s="8"/>
      <c r="P1451" s="8"/>
      <c r="Q1451" s="8"/>
    </row>
    <row r="1452" spans="9:17" s="1" customFormat="1" x14ac:dyDescent="0.25">
      <c r="I1452" s="8"/>
      <c r="K1452" s="8"/>
      <c r="L1452" s="8"/>
      <c r="M1452" s="8"/>
      <c r="N1452" s="8"/>
      <c r="O1452" s="8"/>
      <c r="P1452" s="8"/>
      <c r="Q1452" s="8"/>
    </row>
    <row r="1453" spans="9:17" s="1" customFormat="1" x14ac:dyDescent="0.25">
      <c r="I1453" s="8"/>
      <c r="K1453" s="8"/>
      <c r="L1453" s="8"/>
      <c r="M1453" s="8"/>
      <c r="N1453" s="8"/>
      <c r="O1453" s="8"/>
      <c r="P1453" s="8"/>
      <c r="Q1453" s="8"/>
    </row>
    <row r="1454" spans="9:17" s="1" customFormat="1" x14ac:dyDescent="0.25">
      <c r="I1454" s="8"/>
      <c r="K1454" s="8"/>
      <c r="L1454" s="8"/>
      <c r="M1454" s="8"/>
      <c r="N1454" s="8"/>
      <c r="O1454" s="8"/>
      <c r="P1454" s="8"/>
      <c r="Q1454" s="8"/>
    </row>
    <row r="1455" spans="9:17" s="1" customFormat="1" x14ac:dyDescent="0.25">
      <c r="I1455" s="8"/>
      <c r="K1455" s="8"/>
      <c r="L1455" s="8"/>
      <c r="M1455" s="8"/>
      <c r="N1455" s="8"/>
      <c r="O1455" s="8"/>
      <c r="P1455" s="8"/>
      <c r="Q1455" s="8"/>
    </row>
    <row r="1456" spans="9:17" s="1" customFormat="1" x14ac:dyDescent="0.25">
      <c r="I1456" s="8"/>
      <c r="K1456" s="8"/>
      <c r="L1456" s="8"/>
      <c r="M1456" s="8"/>
      <c r="N1456" s="8"/>
      <c r="O1456" s="8"/>
      <c r="P1456" s="8"/>
      <c r="Q1456" s="8"/>
    </row>
    <row r="1457" spans="9:17" s="1" customFormat="1" x14ac:dyDescent="0.25">
      <c r="I1457" s="8"/>
      <c r="K1457" s="8"/>
      <c r="L1457" s="8"/>
      <c r="M1457" s="8"/>
      <c r="N1457" s="8"/>
      <c r="O1457" s="8"/>
      <c r="P1457" s="8"/>
      <c r="Q1457" s="8"/>
    </row>
    <row r="1458" spans="9:17" s="1" customFormat="1" x14ac:dyDescent="0.25">
      <c r="I1458" s="8"/>
      <c r="K1458" s="8"/>
      <c r="L1458" s="8"/>
      <c r="M1458" s="8"/>
      <c r="N1458" s="8"/>
      <c r="O1458" s="8"/>
      <c r="P1458" s="8"/>
      <c r="Q1458" s="8"/>
    </row>
    <row r="1459" spans="9:17" s="1" customFormat="1" x14ac:dyDescent="0.25">
      <c r="I1459" s="8"/>
      <c r="K1459" s="8"/>
      <c r="L1459" s="8"/>
      <c r="M1459" s="8"/>
      <c r="N1459" s="8"/>
      <c r="O1459" s="8"/>
      <c r="P1459" s="8"/>
      <c r="Q1459" s="8"/>
    </row>
    <row r="1460" spans="9:17" s="1" customFormat="1" x14ac:dyDescent="0.25">
      <c r="I1460" s="8"/>
      <c r="K1460" s="8"/>
      <c r="L1460" s="8"/>
      <c r="M1460" s="8"/>
      <c r="N1460" s="8"/>
      <c r="O1460" s="8"/>
      <c r="P1460" s="8"/>
      <c r="Q1460" s="8"/>
    </row>
    <row r="1461" spans="9:17" s="1" customFormat="1" x14ac:dyDescent="0.25">
      <c r="I1461" s="8"/>
      <c r="K1461" s="8"/>
      <c r="L1461" s="8"/>
      <c r="M1461" s="8"/>
      <c r="N1461" s="8"/>
      <c r="O1461" s="8"/>
      <c r="P1461" s="8"/>
      <c r="Q1461" s="8"/>
    </row>
    <row r="1462" spans="9:17" s="1" customFormat="1" x14ac:dyDescent="0.25">
      <c r="I1462" s="8"/>
      <c r="K1462" s="8"/>
      <c r="L1462" s="8"/>
      <c r="M1462" s="8"/>
      <c r="N1462" s="8"/>
      <c r="O1462" s="8"/>
      <c r="P1462" s="8"/>
      <c r="Q1462" s="8"/>
    </row>
    <row r="1463" spans="9:17" s="1" customFormat="1" x14ac:dyDescent="0.25">
      <c r="I1463" s="8"/>
      <c r="K1463" s="8"/>
      <c r="L1463" s="8"/>
      <c r="M1463" s="8"/>
      <c r="N1463" s="8"/>
      <c r="O1463" s="8"/>
      <c r="P1463" s="8"/>
      <c r="Q1463" s="8"/>
    </row>
    <row r="1464" spans="9:17" s="1" customFormat="1" x14ac:dyDescent="0.25">
      <c r="I1464" s="8"/>
      <c r="K1464" s="8"/>
      <c r="L1464" s="8"/>
      <c r="M1464" s="8"/>
      <c r="N1464" s="8"/>
      <c r="O1464" s="8"/>
      <c r="P1464" s="8"/>
      <c r="Q1464" s="8"/>
    </row>
    <row r="1465" spans="9:17" s="1" customFormat="1" x14ac:dyDescent="0.25">
      <c r="I1465" s="8"/>
      <c r="K1465" s="8"/>
      <c r="L1465" s="8"/>
      <c r="M1465" s="8"/>
      <c r="N1465" s="8"/>
      <c r="O1465" s="8"/>
      <c r="P1465" s="8"/>
      <c r="Q1465" s="8"/>
    </row>
    <row r="1466" spans="9:17" s="1" customFormat="1" x14ac:dyDescent="0.25">
      <c r="I1466" s="8"/>
      <c r="K1466" s="8"/>
      <c r="L1466" s="8"/>
      <c r="M1466" s="8"/>
      <c r="N1466" s="8"/>
      <c r="O1466" s="8"/>
      <c r="P1466" s="8"/>
      <c r="Q1466" s="8"/>
    </row>
    <row r="1467" spans="9:17" s="1" customFormat="1" x14ac:dyDescent="0.25">
      <c r="I1467" s="8"/>
      <c r="K1467" s="8"/>
      <c r="L1467" s="8"/>
      <c r="M1467" s="8"/>
      <c r="N1467" s="8"/>
      <c r="O1467" s="8"/>
      <c r="P1467" s="8"/>
      <c r="Q1467" s="8"/>
    </row>
    <row r="1468" spans="9:17" s="1" customFormat="1" x14ac:dyDescent="0.25">
      <c r="I1468" s="8"/>
      <c r="K1468" s="8"/>
      <c r="L1468" s="8"/>
      <c r="M1468" s="8"/>
      <c r="N1468" s="8"/>
      <c r="O1468" s="8"/>
      <c r="P1468" s="8"/>
      <c r="Q1468" s="8"/>
    </row>
    <row r="1469" spans="9:17" s="1" customFormat="1" x14ac:dyDescent="0.25">
      <c r="I1469" s="8"/>
      <c r="K1469" s="8"/>
      <c r="L1469" s="8"/>
      <c r="M1469" s="8"/>
      <c r="N1469" s="8"/>
      <c r="O1469" s="8"/>
      <c r="P1469" s="8"/>
      <c r="Q1469" s="8"/>
    </row>
    <row r="1470" spans="9:17" s="1" customFormat="1" x14ac:dyDescent="0.25">
      <c r="I1470" s="8"/>
      <c r="K1470" s="8"/>
      <c r="L1470" s="8"/>
      <c r="M1470" s="8"/>
      <c r="N1470" s="8"/>
      <c r="O1470" s="8"/>
      <c r="P1470" s="8"/>
      <c r="Q1470" s="8"/>
    </row>
    <row r="1471" spans="9:17" s="1" customFormat="1" x14ac:dyDescent="0.25">
      <c r="I1471" s="8"/>
      <c r="K1471" s="8"/>
      <c r="L1471" s="8"/>
      <c r="M1471" s="8"/>
      <c r="N1471" s="8"/>
      <c r="O1471" s="8"/>
      <c r="P1471" s="8"/>
      <c r="Q1471" s="8"/>
    </row>
    <row r="1472" spans="9:17" s="1" customFormat="1" x14ac:dyDescent="0.25">
      <c r="I1472" s="8"/>
      <c r="K1472" s="8"/>
      <c r="L1472" s="8"/>
      <c r="M1472" s="8"/>
      <c r="N1472" s="8"/>
      <c r="O1472" s="8"/>
      <c r="P1472" s="8"/>
      <c r="Q1472" s="8"/>
    </row>
    <row r="1473" spans="9:17" s="1" customFormat="1" x14ac:dyDescent="0.25">
      <c r="I1473" s="8"/>
      <c r="K1473" s="8"/>
      <c r="L1473" s="8"/>
      <c r="M1473" s="8"/>
      <c r="N1473" s="8"/>
      <c r="O1473" s="8"/>
      <c r="P1473" s="8"/>
      <c r="Q1473" s="8"/>
    </row>
    <row r="1474" spans="9:17" s="1" customFormat="1" x14ac:dyDescent="0.25">
      <c r="I1474" s="8"/>
      <c r="K1474" s="8"/>
      <c r="L1474" s="8"/>
      <c r="M1474" s="8"/>
      <c r="N1474" s="8"/>
      <c r="O1474" s="8"/>
      <c r="P1474" s="8"/>
      <c r="Q1474" s="8"/>
    </row>
    <row r="1475" spans="9:17" s="1" customFormat="1" x14ac:dyDescent="0.25">
      <c r="I1475" s="8"/>
      <c r="K1475" s="8"/>
      <c r="L1475" s="8"/>
      <c r="M1475" s="8"/>
      <c r="N1475" s="8"/>
      <c r="O1475" s="8"/>
      <c r="P1475" s="8"/>
      <c r="Q1475" s="8"/>
    </row>
    <row r="1476" spans="9:17" s="1" customFormat="1" x14ac:dyDescent="0.25">
      <c r="I1476" s="8"/>
      <c r="K1476" s="8"/>
      <c r="L1476" s="8"/>
      <c r="M1476" s="8"/>
      <c r="N1476" s="8"/>
      <c r="O1476" s="8"/>
      <c r="P1476" s="8"/>
      <c r="Q1476" s="8"/>
    </row>
    <row r="1477" spans="9:17" s="1" customFormat="1" x14ac:dyDescent="0.25">
      <c r="I1477" s="8"/>
      <c r="K1477" s="8"/>
      <c r="L1477" s="8"/>
      <c r="M1477" s="8"/>
      <c r="N1477" s="8"/>
      <c r="O1477" s="8"/>
      <c r="P1477" s="8"/>
      <c r="Q1477" s="8"/>
    </row>
    <row r="1478" spans="9:17" s="1" customFormat="1" x14ac:dyDescent="0.25">
      <c r="I1478" s="8"/>
      <c r="K1478" s="8"/>
      <c r="L1478" s="8"/>
      <c r="M1478" s="8"/>
      <c r="N1478" s="8"/>
      <c r="O1478" s="8"/>
      <c r="P1478" s="8"/>
      <c r="Q1478" s="8"/>
    </row>
    <row r="1479" spans="9:17" s="1" customFormat="1" x14ac:dyDescent="0.25">
      <c r="I1479" s="8"/>
      <c r="K1479" s="8"/>
      <c r="L1479" s="8"/>
      <c r="M1479" s="8"/>
      <c r="N1479" s="8"/>
      <c r="O1479" s="8"/>
      <c r="P1479" s="8"/>
      <c r="Q1479" s="8"/>
    </row>
    <row r="1480" spans="9:17" s="1" customFormat="1" x14ac:dyDescent="0.25">
      <c r="I1480" s="8"/>
      <c r="K1480" s="8"/>
      <c r="L1480" s="8"/>
      <c r="M1480" s="8"/>
      <c r="N1480" s="8"/>
      <c r="O1480" s="8"/>
      <c r="P1480" s="8"/>
      <c r="Q1480" s="8"/>
    </row>
    <row r="1481" spans="9:17" s="1" customFormat="1" x14ac:dyDescent="0.25">
      <c r="I1481" s="8"/>
      <c r="K1481" s="8"/>
      <c r="L1481" s="8"/>
      <c r="M1481" s="8"/>
      <c r="N1481" s="8"/>
      <c r="O1481" s="8"/>
      <c r="P1481" s="8"/>
      <c r="Q1481" s="8"/>
    </row>
    <row r="1482" spans="9:17" s="1" customFormat="1" x14ac:dyDescent="0.25">
      <c r="I1482" s="8"/>
      <c r="K1482" s="8"/>
      <c r="L1482" s="8"/>
      <c r="M1482" s="8"/>
      <c r="N1482" s="8"/>
      <c r="O1482" s="8"/>
      <c r="P1482" s="8"/>
      <c r="Q1482" s="8"/>
    </row>
    <row r="1483" spans="9:17" s="1" customFormat="1" x14ac:dyDescent="0.25">
      <c r="I1483" s="8"/>
      <c r="K1483" s="8"/>
      <c r="L1483" s="8"/>
      <c r="M1483" s="8"/>
      <c r="N1483" s="8"/>
      <c r="O1483" s="8"/>
      <c r="P1483" s="8"/>
      <c r="Q1483" s="8"/>
    </row>
    <row r="1484" spans="9:17" s="1" customFormat="1" x14ac:dyDescent="0.25">
      <c r="I1484" s="8"/>
      <c r="K1484" s="8"/>
      <c r="L1484" s="8"/>
      <c r="M1484" s="8"/>
      <c r="N1484" s="8"/>
      <c r="O1484" s="8"/>
      <c r="P1484" s="8"/>
      <c r="Q1484" s="8"/>
    </row>
    <row r="1485" spans="9:17" s="1" customFormat="1" x14ac:dyDescent="0.25">
      <c r="I1485" s="8"/>
      <c r="K1485" s="8"/>
      <c r="L1485" s="8"/>
      <c r="M1485" s="8"/>
      <c r="N1485" s="8"/>
      <c r="O1485" s="8"/>
      <c r="P1485" s="8"/>
      <c r="Q1485" s="8"/>
    </row>
    <row r="1486" spans="9:17" s="1" customFormat="1" x14ac:dyDescent="0.25">
      <c r="I1486" s="8"/>
      <c r="K1486" s="8"/>
      <c r="L1486" s="8"/>
      <c r="M1486" s="8"/>
      <c r="N1486" s="8"/>
      <c r="O1486" s="8"/>
      <c r="P1486" s="8"/>
      <c r="Q1486" s="8"/>
    </row>
    <row r="1487" spans="9:17" s="1" customFormat="1" x14ac:dyDescent="0.25">
      <c r="I1487" s="8"/>
      <c r="K1487" s="8"/>
      <c r="L1487" s="8"/>
      <c r="M1487" s="8"/>
      <c r="N1487" s="8"/>
      <c r="O1487" s="8"/>
      <c r="P1487" s="8"/>
      <c r="Q1487" s="8"/>
    </row>
    <row r="1488" spans="9:17" s="1" customFormat="1" x14ac:dyDescent="0.25">
      <c r="I1488" s="8"/>
      <c r="K1488" s="8"/>
      <c r="L1488" s="8"/>
      <c r="M1488" s="8"/>
      <c r="N1488" s="8"/>
      <c r="O1488" s="8"/>
      <c r="P1488" s="8"/>
      <c r="Q1488" s="8"/>
    </row>
    <row r="1489" spans="9:17" s="1" customFormat="1" x14ac:dyDescent="0.25">
      <c r="I1489" s="8"/>
      <c r="K1489" s="8"/>
      <c r="L1489" s="8"/>
      <c r="M1489" s="8"/>
      <c r="N1489" s="8"/>
      <c r="O1489" s="8"/>
      <c r="P1489" s="8"/>
      <c r="Q1489" s="8"/>
    </row>
    <row r="1490" spans="9:17" s="1" customFormat="1" x14ac:dyDescent="0.25">
      <c r="I1490" s="8"/>
      <c r="K1490" s="8"/>
      <c r="L1490" s="8"/>
      <c r="M1490" s="8"/>
      <c r="N1490" s="8"/>
      <c r="O1490" s="8"/>
      <c r="P1490" s="8"/>
      <c r="Q1490" s="8"/>
    </row>
    <row r="1491" spans="9:17" s="1" customFormat="1" x14ac:dyDescent="0.25">
      <c r="I1491" s="8"/>
      <c r="K1491" s="8"/>
      <c r="L1491" s="8"/>
      <c r="M1491" s="8"/>
      <c r="N1491" s="8"/>
      <c r="O1491" s="8"/>
      <c r="P1491" s="8"/>
      <c r="Q1491" s="8"/>
    </row>
    <row r="1492" spans="9:17" s="1" customFormat="1" x14ac:dyDescent="0.25">
      <c r="I1492" s="8"/>
      <c r="K1492" s="8"/>
      <c r="L1492" s="8"/>
      <c r="M1492" s="8"/>
      <c r="N1492" s="8"/>
      <c r="O1492" s="8"/>
      <c r="P1492" s="8"/>
      <c r="Q1492" s="8"/>
    </row>
    <row r="1493" spans="9:17" s="1" customFormat="1" x14ac:dyDescent="0.25">
      <c r="I1493" s="8"/>
      <c r="K1493" s="8"/>
      <c r="L1493" s="8"/>
      <c r="M1493" s="8"/>
      <c r="N1493" s="8"/>
      <c r="O1493" s="8"/>
      <c r="P1493" s="8"/>
      <c r="Q1493" s="8"/>
    </row>
    <row r="1494" spans="9:17" s="1" customFormat="1" x14ac:dyDescent="0.25">
      <c r="I1494" s="8"/>
      <c r="K1494" s="8"/>
      <c r="L1494" s="8"/>
      <c r="M1494" s="8"/>
      <c r="N1494" s="8"/>
      <c r="O1494" s="8"/>
      <c r="P1494" s="8"/>
      <c r="Q1494" s="8"/>
    </row>
    <row r="1495" spans="9:17" s="1" customFormat="1" x14ac:dyDescent="0.25">
      <c r="I1495" s="8"/>
      <c r="K1495" s="8"/>
      <c r="L1495" s="8"/>
      <c r="M1495" s="8"/>
      <c r="N1495" s="8"/>
      <c r="O1495" s="8"/>
      <c r="P1495" s="8"/>
      <c r="Q1495" s="8"/>
    </row>
    <row r="1496" spans="9:17" s="1" customFormat="1" x14ac:dyDescent="0.25">
      <c r="I1496" s="8"/>
      <c r="K1496" s="8"/>
      <c r="L1496" s="8"/>
      <c r="M1496" s="8"/>
      <c r="N1496" s="8"/>
      <c r="O1496" s="8"/>
      <c r="P1496" s="8"/>
      <c r="Q1496" s="8"/>
    </row>
    <row r="1497" spans="9:17" s="1" customFormat="1" x14ac:dyDescent="0.25">
      <c r="I1497" s="8"/>
      <c r="K1497" s="8"/>
      <c r="L1497" s="8"/>
      <c r="M1497" s="8"/>
      <c r="N1497" s="8"/>
      <c r="O1497" s="8"/>
      <c r="P1497" s="8"/>
      <c r="Q1497" s="8"/>
    </row>
    <row r="1498" spans="9:17" s="1" customFormat="1" x14ac:dyDescent="0.25">
      <c r="I1498" s="8"/>
      <c r="K1498" s="8"/>
      <c r="L1498" s="8"/>
      <c r="M1498" s="8"/>
      <c r="N1498" s="8"/>
      <c r="O1498" s="8"/>
      <c r="P1498" s="8"/>
      <c r="Q1498" s="8"/>
    </row>
    <row r="1499" spans="9:17" s="1" customFormat="1" x14ac:dyDescent="0.25">
      <c r="I1499" s="8"/>
      <c r="K1499" s="8"/>
      <c r="L1499" s="8"/>
      <c r="M1499" s="8"/>
      <c r="N1499" s="8"/>
      <c r="O1499" s="8"/>
      <c r="P1499" s="8"/>
      <c r="Q1499" s="8"/>
    </row>
    <row r="1500" spans="9:17" s="1" customFormat="1" x14ac:dyDescent="0.25">
      <c r="I1500" s="8"/>
      <c r="K1500" s="8"/>
      <c r="L1500" s="8"/>
      <c r="M1500" s="8"/>
      <c r="N1500" s="8"/>
      <c r="O1500" s="8"/>
      <c r="P1500" s="8"/>
      <c r="Q1500" s="8"/>
    </row>
    <row r="1501" spans="9:17" s="1" customFormat="1" x14ac:dyDescent="0.25">
      <c r="I1501" s="8"/>
      <c r="K1501" s="8"/>
      <c r="L1501" s="8"/>
      <c r="M1501" s="8"/>
      <c r="N1501" s="8"/>
      <c r="O1501" s="8"/>
      <c r="P1501" s="8"/>
      <c r="Q1501" s="8"/>
    </row>
    <row r="1502" spans="9:17" s="1" customFormat="1" x14ac:dyDescent="0.25">
      <c r="I1502" s="8"/>
      <c r="K1502" s="8"/>
      <c r="L1502" s="8"/>
      <c r="M1502" s="8"/>
      <c r="N1502" s="8"/>
      <c r="O1502" s="8"/>
      <c r="P1502" s="8"/>
      <c r="Q1502" s="8"/>
    </row>
    <row r="1503" spans="9:17" s="1" customFormat="1" x14ac:dyDescent="0.25">
      <c r="I1503" s="8"/>
      <c r="K1503" s="8"/>
      <c r="L1503" s="8"/>
      <c r="M1503" s="8"/>
      <c r="N1503" s="8"/>
      <c r="O1503" s="8"/>
      <c r="P1503" s="8"/>
      <c r="Q1503" s="8"/>
    </row>
    <row r="1504" spans="9:17" s="1" customFormat="1" x14ac:dyDescent="0.25">
      <c r="I1504" s="8"/>
      <c r="K1504" s="8"/>
      <c r="L1504" s="8"/>
      <c r="M1504" s="8"/>
      <c r="N1504" s="8"/>
      <c r="O1504" s="8"/>
      <c r="P1504" s="8"/>
      <c r="Q1504" s="8"/>
    </row>
    <row r="1505" spans="9:17" s="1" customFormat="1" x14ac:dyDescent="0.25">
      <c r="I1505" s="8"/>
      <c r="K1505" s="8"/>
      <c r="L1505" s="8"/>
      <c r="M1505" s="8"/>
      <c r="N1505" s="8"/>
      <c r="O1505" s="8"/>
      <c r="P1505" s="8"/>
      <c r="Q1505" s="8"/>
    </row>
    <row r="1506" spans="9:17" s="1" customFormat="1" x14ac:dyDescent="0.25">
      <c r="I1506" s="8"/>
      <c r="K1506" s="8"/>
      <c r="L1506" s="8"/>
      <c r="M1506" s="8"/>
      <c r="N1506" s="8"/>
      <c r="O1506" s="8"/>
      <c r="P1506" s="8"/>
      <c r="Q1506" s="8"/>
    </row>
    <row r="1507" spans="9:17" s="1" customFormat="1" x14ac:dyDescent="0.25">
      <c r="I1507" s="8"/>
      <c r="K1507" s="8"/>
      <c r="L1507" s="8"/>
      <c r="M1507" s="8"/>
      <c r="N1507" s="8"/>
      <c r="O1507" s="8"/>
      <c r="P1507" s="8"/>
      <c r="Q1507" s="8"/>
    </row>
    <row r="1508" spans="9:17" s="1" customFormat="1" x14ac:dyDescent="0.25">
      <c r="I1508" s="8"/>
      <c r="K1508" s="8"/>
      <c r="L1508" s="8"/>
      <c r="M1508" s="8"/>
      <c r="N1508" s="8"/>
      <c r="O1508" s="8"/>
      <c r="P1508" s="8"/>
      <c r="Q1508" s="8"/>
    </row>
    <row r="1509" spans="9:17" s="1" customFormat="1" x14ac:dyDescent="0.25">
      <c r="I1509" s="8"/>
      <c r="K1509" s="8"/>
      <c r="L1509" s="8"/>
      <c r="M1509" s="8"/>
      <c r="N1509" s="8"/>
      <c r="O1509" s="8"/>
      <c r="P1509" s="8"/>
      <c r="Q1509" s="8"/>
    </row>
    <row r="1510" spans="9:17" s="1" customFormat="1" x14ac:dyDescent="0.25">
      <c r="I1510" s="8"/>
      <c r="K1510" s="8"/>
      <c r="L1510" s="8"/>
      <c r="M1510" s="8"/>
      <c r="N1510" s="8"/>
      <c r="O1510" s="8"/>
      <c r="P1510" s="8"/>
      <c r="Q1510" s="8"/>
    </row>
    <row r="1511" spans="9:17" s="1" customFormat="1" x14ac:dyDescent="0.25">
      <c r="I1511" s="8"/>
      <c r="K1511" s="8"/>
      <c r="L1511" s="8"/>
      <c r="M1511" s="8"/>
      <c r="N1511" s="8"/>
      <c r="O1511" s="8"/>
      <c r="P1511" s="8"/>
      <c r="Q1511" s="8"/>
    </row>
    <row r="1512" spans="9:17" s="1" customFormat="1" x14ac:dyDescent="0.25">
      <c r="I1512" s="8"/>
      <c r="K1512" s="8"/>
      <c r="L1512" s="8"/>
      <c r="M1512" s="8"/>
      <c r="N1512" s="8"/>
      <c r="O1512" s="8"/>
      <c r="P1512" s="8"/>
      <c r="Q1512" s="8"/>
    </row>
    <row r="1513" spans="9:17" s="1" customFormat="1" x14ac:dyDescent="0.25">
      <c r="I1513" s="8"/>
      <c r="K1513" s="8"/>
      <c r="L1513" s="8"/>
      <c r="M1513" s="8"/>
      <c r="N1513" s="8"/>
      <c r="O1513" s="8"/>
      <c r="P1513" s="8"/>
      <c r="Q1513" s="8"/>
    </row>
    <row r="1514" spans="9:17" s="1" customFormat="1" x14ac:dyDescent="0.25">
      <c r="I1514" s="8"/>
      <c r="K1514" s="8"/>
      <c r="L1514" s="8"/>
      <c r="M1514" s="8"/>
      <c r="N1514" s="8"/>
      <c r="O1514" s="8"/>
      <c r="P1514" s="8"/>
      <c r="Q1514" s="8"/>
    </row>
    <row r="1515" spans="9:17" s="1" customFormat="1" x14ac:dyDescent="0.25">
      <c r="I1515" s="8"/>
      <c r="K1515" s="8"/>
      <c r="L1515" s="8"/>
      <c r="M1515" s="8"/>
      <c r="N1515" s="8"/>
      <c r="O1515" s="8"/>
      <c r="P1515" s="8"/>
      <c r="Q1515" s="8"/>
    </row>
    <row r="1516" spans="9:17" s="1" customFormat="1" x14ac:dyDescent="0.25">
      <c r="I1516" s="8"/>
      <c r="K1516" s="8"/>
      <c r="L1516" s="8"/>
      <c r="M1516" s="8"/>
      <c r="N1516" s="8"/>
      <c r="O1516" s="8"/>
      <c r="P1516" s="8"/>
      <c r="Q1516" s="8"/>
    </row>
    <row r="1517" spans="9:17" s="1" customFormat="1" x14ac:dyDescent="0.25">
      <c r="I1517" s="8"/>
      <c r="K1517" s="8"/>
      <c r="L1517" s="8"/>
      <c r="M1517" s="8"/>
      <c r="N1517" s="8"/>
      <c r="O1517" s="8"/>
      <c r="P1517" s="8"/>
      <c r="Q1517" s="8"/>
    </row>
    <row r="1518" spans="9:17" s="1" customFormat="1" x14ac:dyDescent="0.25">
      <c r="I1518" s="8"/>
      <c r="K1518" s="8"/>
      <c r="L1518" s="8"/>
      <c r="M1518" s="8"/>
      <c r="N1518" s="8"/>
      <c r="O1518" s="8"/>
      <c r="P1518" s="8"/>
      <c r="Q1518" s="8"/>
    </row>
    <row r="1519" spans="9:17" s="1" customFormat="1" x14ac:dyDescent="0.25">
      <c r="I1519" s="8"/>
      <c r="K1519" s="8"/>
      <c r="L1519" s="8"/>
      <c r="M1519" s="8"/>
      <c r="N1519" s="8"/>
      <c r="O1519" s="8"/>
      <c r="P1519" s="8"/>
      <c r="Q1519" s="8"/>
    </row>
    <row r="1520" spans="9:17" s="1" customFormat="1" x14ac:dyDescent="0.25">
      <c r="I1520" s="8"/>
      <c r="K1520" s="8"/>
      <c r="L1520" s="8"/>
      <c r="M1520" s="8"/>
      <c r="N1520" s="8"/>
      <c r="O1520" s="8"/>
      <c r="P1520" s="8"/>
      <c r="Q1520" s="8"/>
    </row>
    <row r="1521" spans="9:17" s="1" customFormat="1" x14ac:dyDescent="0.25">
      <c r="I1521" s="8"/>
      <c r="K1521" s="8"/>
      <c r="L1521" s="8"/>
      <c r="M1521" s="8"/>
      <c r="N1521" s="8"/>
      <c r="O1521" s="8"/>
      <c r="P1521" s="8"/>
      <c r="Q1521" s="8"/>
    </row>
    <row r="1522" spans="9:17" s="1" customFormat="1" x14ac:dyDescent="0.25">
      <c r="I1522" s="8"/>
      <c r="K1522" s="8"/>
      <c r="L1522" s="8"/>
      <c r="M1522" s="8"/>
      <c r="N1522" s="8"/>
      <c r="O1522" s="8"/>
      <c r="P1522" s="8"/>
      <c r="Q1522" s="8"/>
    </row>
    <row r="1523" spans="9:17" s="1" customFormat="1" x14ac:dyDescent="0.25">
      <c r="I1523" s="8"/>
      <c r="K1523" s="8"/>
      <c r="L1523" s="8"/>
      <c r="M1523" s="8"/>
      <c r="N1523" s="8"/>
      <c r="O1523" s="8"/>
      <c r="P1523" s="8"/>
      <c r="Q1523" s="8"/>
    </row>
    <row r="1524" spans="9:17" s="1" customFormat="1" x14ac:dyDescent="0.25">
      <c r="I1524" s="8"/>
      <c r="K1524" s="8"/>
      <c r="L1524" s="8"/>
      <c r="M1524" s="8"/>
      <c r="N1524" s="8"/>
      <c r="O1524" s="8"/>
      <c r="P1524" s="8"/>
      <c r="Q1524" s="8"/>
    </row>
    <row r="1525" spans="9:17" s="1" customFormat="1" x14ac:dyDescent="0.25">
      <c r="I1525" s="8"/>
      <c r="K1525" s="8"/>
      <c r="L1525" s="8"/>
      <c r="M1525" s="8"/>
      <c r="N1525" s="8"/>
      <c r="O1525" s="8"/>
      <c r="P1525" s="8"/>
      <c r="Q1525" s="8"/>
    </row>
    <row r="1526" spans="9:17" s="1" customFormat="1" x14ac:dyDescent="0.25">
      <c r="I1526" s="8"/>
      <c r="K1526" s="8"/>
      <c r="L1526" s="8"/>
      <c r="M1526" s="8"/>
      <c r="N1526" s="8"/>
      <c r="O1526" s="8"/>
      <c r="P1526" s="8"/>
      <c r="Q1526" s="8"/>
    </row>
    <row r="1527" spans="9:17" s="1" customFormat="1" x14ac:dyDescent="0.25">
      <c r="I1527" s="8"/>
      <c r="K1527" s="8"/>
      <c r="L1527" s="8"/>
      <c r="M1527" s="8"/>
      <c r="N1527" s="8"/>
      <c r="O1527" s="8"/>
      <c r="P1527" s="8"/>
      <c r="Q1527" s="8"/>
    </row>
    <row r="1528" spans="9:17" s="1" customFormat="1" x14ac:dyDescent="0.25">
      <c r="I1528" s="8"/>
      <c r="K1528" s="8"/>
      <c r="L1528" s="8"/>
      <c r="M1528" s="8"/>
      <c r="N1528" s="8"/>
      <c r="O1528" s="8"/>
      <c r="P1528" s="8"/>
      <c r="Q1528" s="8"/>
    </row>
    <row r="1529" spans="9:17" s="1" customFormat="1" x14ac:dyDescent="0.25">
      <c r="I1529" s="8"/>
      <c r="K1529" s="8"/>
      <c r="L1529" s="8"/>
      <c r="M1529" s="8"/>
      <c r="N1529" s="8"/>
      <c r="O1529" s="8"/>
      <c r="P1529" s="8"/>
      <c r="Q1529" s="8"/>
    </row>
    <row r="1530" spans="9:17" s="1" customFormat="1" x14ac:dyDescent="0.25">
      <c r="I1530" s="8"/>
      <c r="K1530" s="8"/>
      <c r="L1530" s="8"/>
      <c r="M1530" s="8"/>
      <c r="N1530" s="8"/>
      <c r="O1530" s="8"/>
      <c r="P1530" s="8"/>
      <c r="Q1530" s="8"/>
    </row>
    <row r="1531" spans="9:17" s="1" customFormat="1" x14ac:dyDescent="0.25">
      <c r="I1531" s="8"/>
      <c r="K1531" s="8"/>
      <c r="L1531" s="8"/>
      <c r="M1531" s="8"/>
      <c r="N1531" s="8"/>
      <c r="O1531" s="8"/>
      <c r="P1531" s="8"/>
      <c r="Q1531" s="8"/>
    </row>
    <row r="1532" spans="9:17" s="1" customFormat="1" x14ac:dyDescent="0.25">
      <c r="I1532" s="8"/>
      <c r="K1532" s="8"/>
      <c r="L1532" s="8"/>
      <c r="M1532" s="8"/>
      <c r="N1532" s="8"/>
      <c r="O1532" s="8"/>
      <c r="P1532" s="8"/>
      <c r="Q1532" s="8"/>
    </row>
    <row r="1533" spans="9:17" s="1" customFormat="1" x14ac:dyDescent="0.25">
      <c r="I1533" s="8"/>
      <c r="K1533" s="8"/>
      <c r="L1533" s="8"/>
      <c r="M1533" s="8"/>
      <c r="N1533" s="8"/>
      <c r="O1533" s="8"/>
      <c r="P1533" s="8"/>
      <c r="Q1533" s="8"/>
    </row>
    <row r="1534" spans="9:17" s="1" customFormat="1" x14ac:dyDescent="0.25">
      <c r="I1534" s="8"/>
      <c r="K1534" s="8"/>
      <c r="L1534" s="8"/>
      <c r="M1534" s="8"/>
      <c r="N1534" s="8"/>
      <c r="O1534" s="8"/>
      <c r="P1534" s="8"/>
      <c r="Q1534" s="8"/>
    </row>
    <row r="1535" spans="9:17" s="1" customFormat="1" x14ac:dyDescent="0.25">
      <c r="I1535" s="8"/>
      <c r="K1535" s="8"/>
      <c r="L1535" s="8"/>
      <c r="M1535" s="8"/>
      <c r="N1535" s="8"/>
      <c r="O1535" s="8"/>
      <c r="P1535" s="8"/>
      <c r="Q1535" s="8"/>
    </row>
    <row r="1536" spans="9:17" s="1" customFormat="1" x14ac:dyDescent="0.25">
      <c r="I1536" s="8"/>
      <c r="K1536" s="8"/>
      <c r="L1536" s="8"/>
      <c r="M1536" s="8"/>
      <c r="N1536" s="8"/>
      <c r="O1536" s="8"/>
      <c r="P1536" s="8"/>
      <c r="Q1536" s="8"/>
    </row>
    <row r="1537" spans="9:17" s="1" customFormat="1" x14ac:dyDescent="0.25">
      <c r="I1537" s="8"/>
      <c r="K1537" s="8"/>
      <c r="L1537" s="8"/>
      <c r="M1537" s="8"/>
      <c r="N1537" s="8"/>
      <c r="O1537" s="8"/>
      <c r="P1537" s="8"/>
      <c r="Q1537" s="8"/>
    </row>
    <row r="1538" spans="9:17" s="1" customFormat="1" x14ac:dyDescent="0.25">
      <c r="I1538" s="8"/>
      <c r="K1538" s="8"/>
      <c r="L1538" s="8"/>
      <c r="M1538" s="8"/>
      <c r="N1538" s="8"/>
      <c r="O1538" s="8"/>
      <c r="P1538" s="8"/>
      <c r="Q1538" s="8"/>
    </row>
    <row r="1539" spans="9:17" s="1" customFormat="1" x14ac:dyDescent="0.25">
      <c r="I1539" s="8"/>
      <c r="K1539" s="8"/>
      <c r="L1539" s="8"/>
      <c r="M1539" s="8"/>
      <c r="N1539" s="8"/>
      <c r="O1539" s="8"/>
      <c r="P1539" s="8"/>
      <c r="Q1539" s="8"/>
    </row>
    <row r="1540" spans="9:17" s="1" customFormat="1" x14ac:dyDescent="0.25">
      <c r="I1540" s="8"/>
      <c r="K1540" s="8"/>
      <c r="L1540" s="8"/>
      <c r="M1540" s="8"/>
      <c r="N1540" s="8"/>
      <c r="O1540" s="8"/>
      <c r="P1540" s="8"/>
      <c r="Q1540" s="8"/>
    </row>
    <row r="1541" spans="9:17" s="1" customFormat="1" x14ac:dyDescent="0.25">
      <c r="I1541" s="8"/>
      <c r="K1541" s="8"/>
      <c r="L1541" s="8"/>
      <c r="M1541" s="8"/>
      <c r="N1541" s="8"/>
      <c r="O1541" s="8"/>
      <c r="P1541" s="8"/>
      <c r="Q1541" s="8"/>
    </row>
    <row r="1542" spans="9:17" s="1" customFormat="1" x14ac:dyDescent="0.25">
      <c r="I1542" s="8"/>
      <c r="K1542" s="8"/>
      <c r="L1542" s="8"/>
      <c r="M1542" s="8"/>
      <c r="N1542" s="8"/>
      <c r="O1542" s="8"/>
      <c r="P1542" s="8"/>
      <c r="Q1542" s="8"/>
    </row>
    <row r="1543" spans="9:17" s="1" customFormat="1" x14ac:dyDescent="0.25">
      <c r="I1543" s="8"/>
      <c r="K1543" s="8"/>
      <c r="L1543" s="8"/>
      <c r="M1543" s="8"/>
      <c r="N1543" s="8"/>
      <c r="O1543" s="8"/>
      <c r="P1543" s="8"/>
      <c r="Q1543" s="8"/>
    </row>
    <row r="1544" spans="9:17" s="1" customFormat="1" x14ac:dyDescent="0.25">
      <c r="I1544" s="8"/>
      <c r="K1544" s="8"/>
      <c r="L1544" s="8"/>
      <c r="M1544" s="8"/>
      <c r="N1544" s="8"/>
      <c r="O1544" s="8"/>
      <c r="P1544" s="8"/>
      <c r="Q1544" s="8"/>
    </row>
    <row r="1545" spans="9:17" s="1" customFormat="1" x14ac:dyDescent="0.25">
      <c r="I1545" s="8"/>
      <c r="K1545" s="8"/>
      <c r="L1545" s="8"/>
      <c r="M1545" s="8"/>
      <c r="N1545" s="8"/>
      <c r="O1545" s="8"/>
      <c r="P1545" s="8"/>
      <c r="Q1545" s="8"/>
    </row>
    <row r="1546" spans="9:17" s="1" customFormat="1" x14ac:dyDescent="0.25">
      <c r="I1546" s="8"/>
      <c r="K1546" s="8"/>
      <c r="L1546" s="8"/>
      <c r="M1546" s="8"/>
      <c r="N1546" s="8"/>
      <c r="O1546" s="8"/>
      <c r="P1546" s="8"/>
      <c r="Q1546" s="8"/>
    </row>
    <row r="1547" spans="9:17" s="1" customFormat="1" x14ac:dyDescent="0.25">
      <c r="I1547" s="8"/>
      <c r="K1547" s="8"/>
      <c r="L1547" s="8"/>
      <c r="M1547" s="8"/>
      <c r="N1547" s="8"/>
      <c r="O1547" s="8"/>
      <c r="P1547" s="8"/>
      <c r="Q1547" s="8"/>
    </row>
    <row r="1548" spans="9:17" s="1" customFormat="1" x14ac:dyDescent="0.25">
      <c r="I1548" s="8"/>
      <c r="K1548" s="8"/>
      <c r="L1548" s="8"/>
      <c r="M1548" s="8"/>
      <c r="N1548" s="8"/>
      <c r="O1548" s="8"/>
      <c r="P1548" s="8"/>
      <c r="Q1548" s="8"/>
    </row>
    <row r="1549" spans="9:17" s="1" customFormat="1" x14ac:dyDescent="0.25">
      <c r="I1549" s="8"/>
      <c r="K1549" s="8"/>
      <c r="L1549" s="8"/>
      <c r="M1549" s="8"/>
      <c r="N1549" s="8"/>
      <c r="O1549" s="8"/>
      <c r="P1549" s="8"/>
      <c r="Q1549" s="8"/>
    </row>
    <row r="1550" spans="9:17" s="1" customFormat="1" x14ac:dyDescent="0.25">
      <c r="I1550" s="8"/>
      <c r="K1550" s="8"/>
      <c r="L1550" s="8"/>
      <c r="M1550" s="8"/>
      <c r="N1550" s="8"/>
      <c r="O1550" s="8"/>
      <c r="P1550" s="8"/>
      <c r="Q1550" s="8"/>
    </row>
    <row r="1551" spans="9:17" s="1" customFormat="1" x14ac:dyDescent="0.25">
      <c r="I1551" s="8"/>
      <c r="K1551" s="8"/>
      <c r="L1551" s="8"/>
      <c r="M1551" s="8"/>
      <c r="N1551" s="8"/>
      <c r="O1551" s="8"/>
      <c r="P1551" s="8"/>
      <c r="Q1551" s="8"/>
    </row>
    <row r="1552" spans="9:17" s="1" customFormat="1" x14ac:dyDescent="0.25">
      <c r="I1552" s="8"/>
      <c r="K1552" s="8"/>
      <c r="L1552" s="8"/>
      <c r="M1552" s="8"/>
      <c r="N1552" s="8"/>
      <c r="O1552" s="8"/>
      <c r="P1552" s="8"/>
      <c r="Q1552" s="8"/>
    </row>
    <row r="1553" spans="9:17" s="1" customFormat="1" x14ac:dyDescent="0.25">
      <c r="I1553" s="8"/>
      <c r="K1553" s="8"/>
      <c r="L1553" s="8"/>
      <c r="M1553" s="8"/>
      <c r="N1553" s="8"/>
      <c r="O1553" s="8"/>
      <c r="P1553" s="8"/>
      <c r="Q1553" s="8"/>
    </row>
    <row r="1554" spans="9:17" s="1" customFormat="1" x14ac:dyDescent="0.25">
      <c r="I1554" s="8"/>
      <c r="K1554" s="8"/>
      <c r="L1554" s="8"/>
      <c r="M1554" s="8"/>
      <c r="N1554" s="8"/>
      <c r="O1554" s="8"/>
      <c r="P1554" s="8"/>
      <c r="Q1554" s="8"/>
    </row>
    <row r="1555" spans="9:17" s="1" customFormat="1" x14ac:dyDescent="0.25">
      <c r="I1555" s="8"/>
      <c r="K1555" s="8"/>
      <c r="L1555" s="8"/>
      <c r="M1555" s="8"/>
      <c r="N1555" s="8"/>
      <c r="O1555" s="8"/>
      <c r="P1555" s="8"/>
      <c r="Q1555" s="8"/>
    </row>
    <row r="1556" spans="9:17" s="1" customFormat="1" x14ac:dyDescent="0.25">
      <c r="I1556" s="8"/>
      <c r="K1556" s="8"/>
      <c r="L1556" s="8"/>
      <c r="M1556" s="8"/>
      <c r="N1556" s="8"/>
      <c r="O1556" s="8"/>
      <c r="P1556" s="8"/>
      <c r="Q1556" s="8"/>
    </row>
    <row r="1557" spans="9:17" s="1" customFormat="1" x14ac:dyDescent="0.25">
      <c r="I1557" s="8"/>
      <c r="K1557" s="8"/>
      <c r="L1557" s="8"/>
      <c r="M1557" s="8"/>
      <c r="N1557" s="8"/>
      <c r="O1557" s="8"/>
      <c r="P1557" s="8"/>
      <c r="Q1557" s="8"/>
    </row>
    <row r="1558" spans="9:17" s="1" customFormat="1" x14ac:dyDescent="0.25">
      <c r="I1558" s="8"/>
      <c r="K1558" s="8"/>
      <c r="L1558" s="8"/>
      <c r="M1558" s="8"/>
      <c r="N1558" s="8"/>
      <c r="O1558" s="8"/>
      <c r="P1558" s="8"/>
      <c r="Q1558" s="8"/>
    </row>
    <row r="1559" spans="9:17" s="1" customFormat="1" x14ac:dyDescent="0.25">
      <c r="I1559" s="8"/>
      <c r="K1559" s="8"/>
      <c r="L1559" s="8"/>
      <c r="M1559" s="8"/>
      <c r="N1559" s="8"/>
      <c r="O1559" s="8"/>
      <c r="P1559" s="8"/>
      <c r="Q1559" s="8"/>
    </row>
    <row r="1560" spans="9:17" s="1" customFormat="1" x14ac:dyDescent="0.25">
      <c r="I1560" s="8"/>
      <c r="K1560" s="8"/>
      <c r="L1560" s="8"/>
      <c r="M1560" s="8"/>
      <c r="N1560" s="8"/>
      <c r="O1560" s="8"/>
      <c r="P1560" s="8"/>
      <c r="Q1560" s="8"/>
    </row>
    <row r="1561" spans="9:17" s="1" customFormat="1" x14ac:dyDescent="0.25">
      <c r="I1561" s="8"/>
      <c r="K1561" s="8"/>
      <c r="L1561" s="8"/>
      <c r="M1561" s="8"/>
      <c r="N1561" s="8"/>
      <c r="O1561" s="8"/>
      <c r="P1561" s="8"/>
      <c r="Q1561" s="8"/>
    </row>
    <row r="1562" spans="9:17" s="1" customFormat="1" x14ac:dyDescent="0.25">
      <c r="I1562" s="8"/>
      <c r="K1562" s="8"/>
      <c r="L1562" s="8"/>
      <c r="M1562" s="8"/>
      <c r="N1562" s="8"/>
      <c r="O1562" s="8"/>
      <c r="P1562" s="8"/>
      <c r="Q1562" s="8"/>
    </row>
    <row r="1563" spans="9:17" s="1" customFormat="1" x14ac:dyDescent="0.25">
      <c r="I1563" s="8"/>
      <c r="K1563" s="8"/>
      <c r="L1563" s="8"/>
      <c r="M1563" s="8"/>
      <c r="N1563" s="8"/>
      <c r="O1563" s="8"/>
      <c r="P1563" s="8"/>
      <c r="Q1563" s="8"/>
    </row>
    <row r="1564" spans="9:17" s="1" customFormat="1" x14ac:dyDescent="0.25">
      <c r="I1564" s="8"/>
      <c r="K1564" s="8"/>
      <c r="L1564" s="8"/>
      <c r="M1564" s="8"/>
      <c r="N1564" s="8"/>
      <c r="O1564" s="8"/>
      <c r="P1564" s="8"/>
      <c r="Q1564" s="8"/>
    </row>
    <row r="1565" spans="9:17" s="1" customFormat="1" x14ac:dyDescent="0.25">
      <c r="I1565" s="8"/>
      <c r="K1565" s="8"/>
      <c r="L1565" s="8"/>
      <c r="M1565" s="8"/>
      <c r="N1565" s="8"/>
      <c r="O1565" s="8"/>
      <c r="P1565" s="8"/>
      <c r="Q1565" s="8"/>
    </row>
    <row r="1566" spans="9:17" s="1" customFormat="1" x14ac:dyDescent="0.25">
      <c r="I1566" s="8"/>
      <c r="K1566" s="8"/>
      <c r="L1566" s="8"/>
      <c r="M1566" s="8"/>
      <c r="N1566" s="8"/>
      <c r="O1566" s="8"/>
      <c r="P1566" s="8"/>
      <c r="Q1566" s="8"/>
    </row>
    <row r="1567" spans="9:17" s="1" customFormat="1" x14ac:dyDescent="0.25">
      <c r="I1567" s="8"/>
      <c r="K1567" s="8"/>
      <c r="L1567" s="8"/>
      <c r="M1567" s="8"/>
      <c r="N1567" s="8"/>
      <c r="O1567" s="8"/>
      <c r="P1567" s="8"/>
      <c r="Q1567" s="8"/>
    </row>
    <row r="1568" spans="9:17" s="1" customFormat="1" x14ac:dyDescent="0.25">
      <c r="I1568" s="8"/>
      <c r="K1568" s="8"/>
      <c r="L1568" s="8"/>
      <c r="M1568" s="8"/>
      <c r="N1568" s="8"/>
      <c r="O1568" s="8"/>
      <c r="P1568" s="8"/>
      <c r="Q1568" s="8"/>
    </row>
    <row r="1569" spans="9:17" s="1" customFormat="1" x14ac:dyDescent="0.25">
      <c r="I1569" s="8"/>
      <c r="K1569" s="8"/>
      <c r="L1569" s="8"/>
      <c r="M1569" s="8"/>
      <c r="N1569" s="8"/>
      <c r="O1569" s="8"/>
      <c r="P1569" s="8"/>
      <c r="Q1569" s="8"/>
    </row>
    <row r="1570" spans="9:17" s="1" customFormat="1" x14ac:dyDescent="0.25">
      <c r="I1570" s="8"/>
      <c r="K1570" s="8"/>
      <c r="L1570" s="8"/>
      <c r="M1570" s="8"/>
      <c r="N1570" s="8"/>
      <c r="O1570" s="8"/>
      <c r="P1570" s="8"/>
      <c r="Q1570" s="8"/>
    </row>
    <row r="1571" spans="9:17" s="1" customFormat="1" x14ac:dyDescent="0.25">
      <c r="I1571" s="8"/>
      <c r="K1571" s="8"/>
      <c r="L1571" s="8"/>
      <c r="M1571" s="8"/>
      <c r="N1571" s="8"/>
      <c r="O1571" s="8"/>
      <c r="P1571" s="8"/>
      <c r="Q1571" s="8"/>
    </row>
    <row r="1572" spans="9:17" s="1" customFormat="1" x14ac:dyDescent="0.25">
      <c r="I1572" s="8"/>
      <c r="K1572" s="8"/>
      <c r="L1572" s="8"/>
      <c r="M1572" s="8"/>
      <c r="N1572" s="8"/>
      <c r="O1572" s="8"/>
      <c r="P1572" s="8"/>
      <c r="Q1572" s="8"/>
    </row>
    <row r="1573" spans="9:17" s="1" customFormat="1" x14ac:dyDescent="0.25">
      <c r="I1573" s="8"/>
      <c r="K1573" s="8"/>
      <c r="L1573" s="8"/>
      <c r="M1573" s="8"/>
      <c r="N1573" s="8"/>
      <c r="O1573" s="8"/>
      <c r="P1573" s="8"/>
      <c r="Q1573" s="8"/>
    </row>
    <row r="1574" spans="9:17" s="1" customFormat="1" x14ac:dyDescent="0.25">
      <c r="I1574" s="8"/>
      <c r="K1574" s="8"/>
      <c r="L1574" s="8"/>
      <c r="M1574" s="8"/>
      <c r="N1574" s="8"/>
      <c r="O1574" s="8"/>
      <c r="P1574" s="8"/>
      <c r="Q1574" s="8"/>
    </row>
    <row r="1575" spans="9:17" s="1" customFormat="1" x14ac:dyDescent="0.25">
      <c r="I1575" s="8"/>
      <c r="K1575" s="8"/>
      <c r="L1575" s="8"/>
      <c r="M1575" s="8"/>
      <c r="N1575" s="8"/>
      <c r="O1575" s="8"/>
      <c r="P1575" s="8"/>
      <c r="Q1575" s="8"/>
    </row>
    <row r="1576" spans="9:17" s="1" customFormat="1" x14ac:dyDescent="0.25">
      <c r="I1576" s="8"/>
      <c r="K1576" s="8"/>
      <c r="L1576" s="8"/>
      <c r="M1576" s="8"/>
      <c r="N1576" s="8"/>
      <c r="O1576" s="8"/>
      <c r="P1576" s="8"/>
      <c r="Q1576" s="8"/>
    </row>
    <row r="1577" spans="9:17" s="1" customFormat="1" x14ac:dyDescent="0.25">
      <c r="I1577" s="8"/>
      <c r="K1577" s="8"/>
      <c r="L1577" s="8"/>
      <c r="M1577" s="8"/>
      <c r="N1577" s="8"/>
      <c r="O1577" s="8"/>
      <c r="P1577" s="8"/>
      <c r="Q1577" s="8"/>
    </row>
    <row r="1578" spans="9:17" s="1" customFormat="1" x14ac:dyDescent="0.25">
      <c r="I1578" s="8"/>
      <c r="K1578" s="8"/>
      <c r="L1578" s="8"/>
      <c r="M1578" s="8"/>
      <c r="N1578" s="8"/>
      <c r="O1578" s="8"/>
      <c r="P1578" s="8"/>
      <c r="Q1578" s="8"/>
    </row>
    <row r="1579" spans="9:17" s="1" customFormat="1" x14ac:dyDescent="0.25">
      <c r="I1579" s="8"/>
      <c r="K1579" s="8"/>
      <c r="L1579" s="8"/>
      <c r="M1579" s="8"/>
      <c r="N1579" s="8"/>
      <c r="O1579" s="8"/>
      <c r="P1579" s="8"/>
      <c r="Q1579" s="8"/>
    </row>
    <row r="1580" spans="9:17" s="1" customFormat="1" x14ac:dyDescent="0.25">
      <c r="I1580" s="8"/>
      <c r="K1580" s="8"/>
      <c r="L1580" s="8"/>
      <c r="M1580" s="8"/>
      <c r="N1580" s="8"/>
      <c r="O1580" s="8"/>
      <c r="P1580" s="8"/>
      <c r="Q1580" s="8"/>
    </row>
    <row r="1581" spans="9:17" s="1" customFormat="1" x14ac:dyDescent="0.25">
      <c r="I1581" s="8"/>
      <c r="K1581" s="8"/>
      <c r="L1581" s="8"/>
      <c r="M1581" s="8"/>
      <c r="N1581" s="8"/>
      <c r="O1581" s="8"/>
      <c r="P1581" s="8"/>
      <c r="Q1581" s="8"/>
    </row>
    <row r="1582" spans="9:17" s="1" customFormat="1" x14ac:dyDescent="0.25">
      <c r="I1582" s="8"/>
      <c r="K1582" s="8"/>
      <c r="L1582" s="8"/>
      <c r="M1582" s="8"/>
      <c r="N1582" s="8"/>
      <c r="O1582" s="8"/>
      <c r="P1582" s="8"/>
      <c r="Q1582" s="8"/>
    </row>
    <row r="1583" spans="9:17" s="1" customFormat="1" x14ac:dyDescent="0.25">
      <c r="I1583" s="8"/>
      <c r="K1583" s="8"/>
      <c r="L1583" s="8"/>
      <c r="M1583" s="8"/>
      <c r="N1583" s="8"/>
      <c r="O1583" s="8"/>
      <c r="P1583" s="8"/>
      <c r="Q1583" s="8"/>
    </row>
    <row r="1584" spans="9:17" s="1" customFormat="1" x14ac:dyDescent="0.25">
      <c r="I1584" s="8"/>
      <c r="K1584" s="8"/>
      <c r="L1584" s="8"/>
      <c r="M1584" s="8"/>
      <c r="N1584" s="8"/>
      <c r="O1584" s="8"/>
      <c r="P1584" s="8"/>
      <c r="Q1584" s="8"/>
    </row>
    <row r="1585" spans="9:17" s="1" customFormat="1" x14ac:dyDescent="0.25">
      <c r="I1585" s="8"/>
      <c r="K1585" s="8"/>
      <c r="L1585" s="8"/>
      <c r="M1585" s="8"/>
      <c r="N1585" s="8"/>
      <c r="O1585" s="8"/>
      <c r="P1585" s="8"/>
      <c r="Q1585" s="8"/>
    </row>
    <row r="1586" spans="9:17" s="1" customFormat="1" x14ac:dyDescent="0.25">
      <c r="I1586" s="8"/>
      <c r="K1586" s="8"/>
      <c r="L1586" s="8"/>
      <c r="M1586" s="8"/>
      <c r="N1586" s="8"/>
      <c r="O1586" s="8"/>
      <c r="P1586" s="8"/>
      <c r="Q1586" s="8"/>
    </row>
    <row r="1587" spans="9:17" s="1" customFormat="1" x14ac:dyDescent="0.25">
      <c r="I1587" s="8"/>
      <c r="K1587" s="8"/>
      <c r="L1587" s="8"/>
      <c r="M1587" s="8"/>
      <c r="N1587" s="8"/>
      <c r="O1587" s="8"/>
      <c r="P1587" s="8"/>
      <c r="Q1587" s="8"/>
    </row>
    <row r="1588" spans="9:17" s="1" customFormat="1" x14ac:dyDescent="0.25">
      <c r="I1588" s="8"/>
      <c r="K1588" s="8"/>
      <c r="L1588" s="8"/>
      <c r="M1588" s="8"/>
      <c r="N1588" s="8"/>
      <c r="O1588" s="8"/>
      <c r="P1588" s="8"/>
      <c r="Q1588" s="8"/>
    </row>
    <row r="1589" spans="9:17" s="1" customFormat="1" x14ac:dyDescent="0.25">
      <c r="I1589" s="8"/>
      <c r="K1589" s="8"/>
      <c r="L1589" s="8"/>
      <c r="M1589" s="8"/>
      <c r="N1589" s="8"/>
      <c r="O1589" s="8"/>
      <c r="P1589" s="8"/>
      <c r="Q1589" s="8"/>
    </row>
    <row r="1590" spans="9:17" s="1" customFormat="1" x14ac:dyDescent="0.25">
      <c r="I1590" s="8"/>
      <c r="K1590" s="8"/>
      <c r="L1590" s="8"/>
      <c r="M1590" s="8"/>
      <c r="N1590" s="8"/>
      <c r="O1590" s="8"/>
      <c r="P1590" s="8"/>
      <c r="Q1590" s="8"/>
    </row>
    <row r="1591" spans="9:17" s="1" customFormat="1" x14ac:dyDescent="0.25">
      <c r="I1591" s="8"/>
      <c r="K1591" s="8"/>
      <c r="L1591" s="8"/>
      <c r="M1591" s="8"/>
      <c r="N1591" s="8"/>
      <c r="O1591" s="8"/>
      <c r="P1591" s="8"/>
      <c r="Q1591" s="8"/>
    </row>
    <row r="1592" spans="9:17" s="1" customFormat="1" x14ac:dyDescent="0.25">
      <c r="I1592" s="8"/>
      <c r="K1592" s="8"/>
      <c r="L1592" s="8"/>
      <c r="M1592" s="8"/>
      <c r="N1592" s="8"/>
      <c r="O1592" s="8"/>
      <c r="P1592" s="8"/>
      <c r="Q1592" s="8"/>
    </row>
    <row r="1593" spans="9:17" s="1" customFormat="1" x14ac:dyDescent="0.25">
      <c r="I1593" s="8"/>
      <c r="K1593" s="8"/>
      <c r="L1593" s="8"/>
      <c r="M1593" s="8"/>
      <c r="N1593" s="8"/>
      <c r="O1593" s="8"/>
      <c r="P1593" s="8"/>
      <c r="Q1593" s="8"/>
    </row>
    <row r="1594" spans="9:17" s="1" customFormat="1" x14ac:dyDescent="0.25">
      <c r="I1594" s="8"/>
      <c r="K1594" s="8"/>
      <c r="L1594" s="8"/>
      <c r="M1594" s="8"/>
      <c r="N1594" s="8"/>
      <c r="O1594" s="8"/>
      <c r="P1594" s="8"/>
      <c r="Q1594" s="8"/>
    </row>
    <row r="1595" spans="9:17" s="1" customFormat="1" x14ac:dyDescent="0.25">
      <c r="I1595" s="8"/>
      <c r="K1595" s="8"/>
      <c r="L1595" s="8"/>
      <c r="M1595" s="8"/>
      <c r="N1595" s="8"/>
      <c r="O1595" s="8"/>
      <c r="P1595" s="8"/>
      <c r="Q1595" s="8"/>
    </row>
    <row r="1596" spans="9:17" s="1" customFormat="1" x14ac:dyDescent="0.25">
      <c r="I1596" s="8"/>
      <c r="K1596" s="8"/>
      <c r="L1596" s="8"/>
      <c r="M1596" s="8"/>
      <c r="N1596" s="8"/>
      <c r="O1596" s="8"/>
      <c r="P1596" s="8"/>
      <c r="Q1596" s="8"/>
    </row>
    <row r="1597" spans="9:17" s="1" customFormat="1" x14ac:dyDescent="0.25">
      <c r="I1597" s="8"/>
      <c r="K1597" s="8"/>
      <c r="L1597" s="8"/>
      <c r="M1597" s="8"/>
      <c r="N1597" s="8"/>
      <c r="O1597" s="8"/>
      <c r="P1597" s="8"/>
      <c r="Q1597" s="8"/>
    </row>
    <row r="1598" spans="9:17" s="1" customFormat="1" x14ac:dyDescent="0.25">
      <c r="I1598" s="8"/>
      <c r="K1598" s="8"/>
      <c r="L1598" s="8"/>
      <c r="M1598" s="8"/>
      <c r="N1598" s="8"/>
      <c r="O1598" s="8"/>
      <c r="P1598" s="8"/>
      <c r="Q1598" s="8"/>
    </row>
    <row r="1599" spans="9:17" s="1" customFormat="1" x14ac:dyDescent="0.25">
      <c r="I1599" s="8"/>
      <c r="K1599" s="8"/>
      <c r="L1599" s="8"/>
      <c r="M1599" s="8"/>
      <c r="N1599" s="8"/>
      <c r="O1599" s="8"/>
      <c r="P1599" s="8"/>
      <c r="Q1599" s="8"/>
    </row>
    <row r="1600" spans="9:17" s="1" customFormat="1" x14ac:dyDescent="0.25">
      <c r="I1600" s="8"/>
      <c r="K1600" s="8"/>
      <c r="L1600" s="8"/>
      <c r="M1600" s="8"/>
      <c r="N1600" s="8"/>
      <c r="O1600" s="8"/>
      <c r="P1600" s="8"/>
      <c r="Q1600" s="8"/>
    </row>
    <row r="1601" spans="9:17" s="1" customFormat="1" x14ac:dyDescent="0.25">
      <c r="I1601" s="8"/>
      <c r="K1601" s="8"/>
      <c r="L1601" s="8"/>
      <c r="M1601" s="8"/>
      <c r="N1601" s="8"/>
      <c r="O1601" s="8"/>
      <c r="P1601" s="8"/>
      <c r="Q1601" s="8"/>
    </row>
    <row r="1602" spans="9:17" s="1" customFormat="1" x14ac:dyDescent="0.25">
      <c r="I1602" s="8"/>
      <c r="K1602" s="8"/>
      <c r="L1602" s="8"/>
      <c r="M1602" s="8"/>
      <c r="N1602" s="8"/>
      <c r="O1602" s="8"/>
      <c r="P1602" s="8"/>
      <c r="Q1602" s="8"/>
    </row>
    <row r="1603" spans="9:17" s="1" customFormat="1" x14ac:dyDescent="0.25">
      <c r="I1603" s="8"/>
      <c r="K1603" s="8"/>
      <c r="L1603" s="8"/>
      <c r="M1603" s="8"/>
      <c r="N1603" s="8"/>
      <c r="O1603" s="8"/>
      <c r="P1603" s="8"/>
      <c r="Q1603" s="8"/>
    </row>
    <row r="1604" spans="9:17" s="1" customFormat="1" x14ac:dyDescent="0.25">
      <c r="I1604" s="8"/>
      <c r="K1604" s="8"/>
      <c r="L1604" s="8"/>
      <c r="M1604" s="8"/>
      <c r="N1604" s="8"/>
      <c r="O1604" s="8"/>
      <c r="P1604" s="8"/>
      <c r="Q1604" s="8"/>
    </row>
    <row r="1605" spans="9:17" s="1" customFormat="1" x14ac:dyDescent="0.25">
      <c r="I1605" s="8"/>
      <c r="K1605" s="8"/>
      <c r="L1605" s="8"/>
      <c r="M1605" s="8"/>
      <c r="N1605" s="8"/>
      <c r="O1605" s="8"/>
      <c r="P1605" s="8"/>
      <c r="Q1605" s="8"/>
    </row>
    <row r="1606" spans="9:17" s="1" customFormat="1" x14ac:dyDescent="0.25">
      <c r="I1606" s="8"/>
      <c r="K1606" s="8"/>
      <c r="L1606" s="8"/>
      <c r="M1606" s="8"/>
      <c r="N1606" s="8"/>
      <c r="O1606" s="8"/>
      <c r="P1606" s="8"/>
      <c r="Q1606" s="8"/>
    </row>
    <row r="1607" spans="9:17" s="1" customFormat="1" x14ac:dyDescent="0.25">
      <c r="I1607" s="8"/>
      <c r="K1607" s="8"/>
      <c r="L1607" s="8"/>
      <c r="M1607" s="8"/>
      <c r="N1607" s="8"/>
      <c r="O1607" s="8"/>
      <c r="P1607" s="8"/>
      <c r="Q1607" s="8"/>
    </row>
    <row r="1608" spans="9:17" s="1" customFormat="1" x14ac:dyDescent="0.25">
      <c r="I1608" s="8"/>
      <c r="K1608" s="8"/>
      <c r="L1608" s="8"/>
      <c r="M1608" s="8"/>
      <c r="N1608" s="8"/>
      <c r="O1608" s="8"/>
      <c r="P1608" s="8"/>
      <c r="Q1608" s="8"/>
    </row>
    <row r="1609" spans="9:17" s="1" customFormat="1" x14ac:dyDescent="0.25">
      <c r="I1609" s="8"/>
      <c r="K1609" s="8"/>
      <c r="L1609" s="8"/>
      <c r="M1609" s="8"/>
      <c r="N1609" s="8"/>
      <c r="O1609" s="8"/>
      <c r="P1609" s="8"/>
      <c r="Q1609" s="8"/>
    </row>
    <row r="1610" spans="9:17" s="1" customFormat="1" x14ac:dyDescent="0.25">
      <c r="I1610" s="8"/>
      <c r="K1610" s="8"/>
      <c r="L1610" s="8"/>
      <c r="M1610" s="8"/>
      <c r="N1610" s="8"/>
      <c r="O1610" s="8"/>
      <c r="P1610" s="8"/>
      <c r="Q1610" s="8"/>
    </row>
    <row r="1611" spans="9:17" s="1" customFormat="1" x14ac:dyDescent="0.25">
      <c r="I1611" s="8"/>
      <c r="K1611" s="8"/>
      <c r="L1611" s="8"/>
      <c r="M1611" s="8"/>
      <c r="N1611" s="8"/>
      <c r="O1611" s="8"/>
      <c r="P1611" s="8"/>
      <c r="Q1611" s="8"/>
    </row>
    <row r="1612" spans="9:17" s="1" customFormat="1" x14ac:dyDescent="0.25">
      <c r="I1612" s="8"/>
      <c r="K1612" s="8"/>
      <c r="L1612" s="8"/>
      <c r="M1612" s="8"/>
      <c r="N1612" s="8"/>
      <c r="O1612" s="8"/>
      <c r="P1612" s="8"/>
      <c r="Q1612" s="8"/>
    </row>
    <row r="1613" spans="9:17" s="1" customFormat="1" x14ac:dyDescent="0.25">
      <c r="I1613" s="8"/>
      <c r="K1613" s="8"/>
      <c r="L1613" s="8"/>
      <c r="M1613" s="8"/>
      <c r="N1613" s="8"/>
      <c r="O1613" s="8"/>
      <c r="P1613" s="8"/>
      <c r="Q1613" s="8"/>
    </row>
    <row r="1614" spans="9:17" s="1" customFormat="1" x14ac:dyDescent="0.25">
      <c r="I1614" s="8"/>
      <c r="K1614" s="8"/>
      <c r="L1614" s="8"/>
      <c r="M1614" s="8"/>
      <c r="N1614" s="8"/>
      <c r="O1614" s="8"/>
      <c r="P1614" s="8"/>
      <c r="Q1614" s="8"/>
    </row>
    <row r="1615" spans="9:17" s="1" customFormat="1" x14ac:dyDescent="0.25">
      <c r="I1615" s="8"/>
      <c r="K1615" s="8"/>
      <c r="L1615" s="8"/>
      <c r="M1615" s="8"/>
      <c r="N1615" s="8"/>
      <c r="O1615" s="8"/>
      <c r="P1615" s="8"/>
      <c r="Q1615" s="8"/>
    </row>
    <row r="1616" spans="9:17" s="1" customFormat="1" x14ac:dyDescent="0.25">
      <c r="I1616" s="8"/>
      <c r="K1616" s="8"/>
      <c r="L1616" s="8"/>
      <c r="M1616" s="8"/>
      <c r="N1616" s="8"/>
      <c r="O1616" s="8"/>
      <c r="P1616" s="8"/>
      <c r="Q1616" s="8"/>
    </row>
    <row r="1617" spans="9:17" s="1" customFormat="1" x14ac:dyDescent="0.25">
      <c r="I1617" s="8"/>
      <c r="K1617" s="8"/>
      <c r="L1617" s="8"/>
      <c r="M1617" s="8"/>
      <c r="N1617" s="8"/>
      <c r="O1617" s="8"/>
      <c r="P1617" s="8"/>
      <c r="Q1617" s="8"/>
    </row>
    <row r="1618" spans="9:17" s="1" customFormat="1" x14ac:dyDescent="0.25">
      <c r="I1618" s="8"/>
      <c r="K1618" s="8"/>
      <c r="L1618" s="8"/>
      <c r="M1618" s="8"/>
      <c r="N1618" s="8"/>
      <c r="O1618" s="8"/>
      <c r="P1618" s="8"/>
      <c r="Q1618" s="8"/>
    </row>
    <row r="1619" spans="9:17" s="1" customFormat="1" x14ac:dyDescent="0.25">
      <c r="I1619" s="8"/>
      <c r="K1619" s="8"/>
      <c r="L1619" s="8"/>
      <c r="M1619" s="8"/>
      <c r="N1619" s="8"/>
      <c r="O1619" s="8"/>
      <c r="P1619" s="8"/>
      <c r="Q1619" s="8"/>
    </row>
    <row r="1620" spans="9:17" s="1" customFormat="1" x14ac:dyDescent="0.25">
      <c r="I1620" s="8"/>
      <c r="K1620" s="8"/>
      <c r="L1620" s="8"/>
      <c r="M1620" s="8"/>
      <c r="N1620" s="8"/>
      <c r="O1620" s="8"/>
      <c r="P1620" s="8"/>
      <c r="Q1620" s="8"/>
    </row>
    <row r="1621" spans="9:17" s="1" customFormat="1" x14ac:dyDescent="0.25">
      <c r="I1621" s="8"/>
      <c r="K1621" s="8"/>
      <c r="L1621" s="8"/>
      <c r="M1621" s="8"/>
      <c r="N1621" s="8"/>
      <c r="O1621" s="8"/>
      <c r="P1621" s="8"/>
      <c r="Q1621" s="8"/>
    </row>
    <row r="1622" spans="9:17" s="1" customFormat="1" x14ac:dyDescent="0.25">
      <c r="I1622" s="8"/>
      <c r="K1622" s="8"/>
      <c r="L1622" s="8"/>
      <c r="M1622" s="8"/>
      <c r="N1622" s="8"/>
      <c r="O1622" s="8"/>
      <c r="P1622" s="8"/>
      <c r="Q1622" s="8"/>
    </row>
    <row r="1623" spans="9:17" s="1" customFormat="1" x14ac:dyDescent="0.25">
      <c r="I1623" s="8"/>
      <c r="K1623" s="8"/>
      <c r="L1623" s="8"/>
      <c r="M1623" s="8"/>
      <c r="N1623" s="8"/>
      <c r="O1623" s="8"/>
      <c r="P1623" s="8"/>
      <c r="Q1623" s="8"/>
    </row>
    <row r="1624" spans="9:17" s="1" customFormat="1" x14ac:dyDescent="0.25">
      <c r="I1624" s="8"/>
      <c r="K1624" s="8"/>
      <c r="L1624" s="8"/>
      <c r="M1624" s="8"/>
      <c r="N1624" s="8"/>
      <c r="O1624" s="8"/>
      <c r="P1624" s="8"/>
      <c r="Q1624" s="8"/>
    </row>
    <row r="1625" spans="9:17" s="1" customFormat="1" x14ac:dyDescent="0.25">
      <c r="I1625" s="8"/>
      <c r="K1625" s="8"/>
      <c r="L1625" s="8"/>
      <c r="M1625" s="8"/>
      <c r="N1625" s="8"/>
      <c r="O1625" s="8"/>
      <c r="P1625" s="8"/>
      <c r="Q1625" s="8"/>
    </row>
    <row r="1626" spans="9:17" s="1" customFormat="1" x14ac:dyDescent="0.25">
      <c r="I1626" s="8"/>
      <c r="K1626" s="8"/>
      <c r="L1626" s="8"/>
      <c r="M1626" s="8"/>
      <c r="N1626" s="8"/>
      <c r="O1626" s="8"/>
      <c r="P1626" s="8"/>
      <c r="Q1626" s="8"/>
    </row>
    <row r="1627" spans="9:17" s="1" customFormat="1" x14ac:dyDescent="0.25">
      <c r="I1627" s="8"/>
      <c r="K1627" s="8"/>
      <c r="L1627" s="8"/>
      <c r="M1627" s="8"/>
      <c r="N1627" s="8"/>
      <c r="O1627" s="8"/>
      <c r="P1627" s="8"/>
      <c r="Q1627" s="8"/>
    </row>
    <row r="1628" spans="9:17" s="1" customFormat="1" x14ac:dyDescent="0.25">
      <c r="I1628" s="8"/>
      <c r="K1628" s="8"/>
      <c r="L1628" s="8"/>
      <c r="M1628" s="8"/>
      <c r="N1628" s="8"/>
      <c r="O1628" s="8"/>
      <c r="P1628" s="8"/>
      <c r="Q1628" s="8"/>
    </row>
    <row r="1629" spans="9:17" s="1" customFormat="1" x14ac:dyDescent="0.25">
      <c r="I1629" s="8"/>
      <c r="K1629" s="8"/>
      <c r="L1629" s="8"/>
      <c r="M1629" s="8"/>
      <c r="N1629" s="8"/>
      <c r="O1629" s="8"/>
      <c r="P1629" s="8"/>
      <c r="Q1629" s="8"/>
    </row>
    <row r="1630" spans="9:17" s="1" customFormat="1" x14ac:dyDescent="0.25">
      <c r="I1630" s="8"/>
      <c r="K1630" s="8"/>
      <c r="L1630" s="8"/>
      <c r="M1630" s="8"/>
      <c r="N1630" s="8"/>
      <c r="O1630" s="8"/>
      <c r="P1630" s="8"/>
      <c r="Q1630" s="8"/>
    </row>
    <row r="1631" spans="9:17" s="1" customFormat="1" x14ac:dyDescent="0.25">
      <c r="I1631" s="8"/>
      <c r="K1631" s="8"/>
      <c r="L1631" s="8"/>
      <c r="M1631" s="8"/>
      <c r="N1631" s="8"/>
      <c r="O1631" s="8"/>
      <c r="P1631" s="8"/>
      <c r="Q1631" s="8"/>
    </row>
    <row r="1632" spans="9:17" s="1" customFormat="1" x14ac:dyDescent="0.25">
      <c r="I1632" s="8"/>
      <c r="K1632" s="8"/>
      <c r="L1632" s="8"/>
      <c r="M1632" s="8"/>
      <c r="N1632" s="8"/>
      <c r="O1632" s="8"/>
      <c r="P1632" s="8"/>
      <c r="Q1632" s="8"/>
    </row>
    <row r="1633" spans="9:17" s="1" customFormat="1" x14ac:dyDescent="0.25">
      <c r="I1633" s="8"/>
      <c r="K1633" s="8"/>
      <c r="L1633" s="8"/>
      <c r="M1633" s="8"/>
      <c r="N1633" s="8"/>
      <c r="O1633" s="8"/>
      <c r="P1633" s="8"/>
      <c r="Q1633" s="8"/>
    </row>
    <row r="1634" spans="9:17" s="1" customFormat="1" x14ac:dyDescent="0.25">
      <c r="I1634" s="8"/>
      <c r="K1634" s="8"/>
      <c r="L1634" s="8"/>
      <c r="M1634" s="8"/>
      <c r="N1634" s="8"/>
      <c r="O1634" s="8"/>
      <c r="P1634" s="8"/>
      <c r="Q1634" s="8"/>
    </row>
    <row r="1635" spans="9:17" s="1" customFormat="1" x14ac:dyDescent="0.25">
      <c r="I1635" s="8"/>
      <c r="K1635" s="8"/>
      <c r="L1635" s="8"/>
      <c r="M1635" s="8"/>
      <c r="N1635" s="8"/>
      <c r="O1635" s="8"/>
      <c r="P1635" s="8"/>
      <c r="Q1635" s="8"/>
    </row>
    <row r="1636" spans="9:17" s="1" customFormat="1" x14ac:dyDescent="0.25">
      <c r="I1636" s="8"/>
      <c r="K1636" s="8"/>
      <c r="L1636" s="8"/>
      <c r="M1636" s="8"/>
      <c r="N1636" s="8"/>
      <c r="O1636" s="8"/>
      <c r="P1636" s="8"/>
      <c r="Q1636" s="8"/>
    </row>
    <row r="1637" spans="9:17" s="1" customFormat="1" x14ac:dyDescent="0.25">
      <c r="I1637" s="8"/>
      <c r="K1637" s="8"/>
      <c r="L1637" s="8"/>
      <c r="M1637" s="8"/>
      <c r="N1637" s="8"/>
      <c r="O1637" s="8"/>
      <c r="P1637" s="8"/>
      <c r="Q1637" s="8"/>
    </row>
    <row r="1638" spans="9:17" s="1" customFormat="1" x14ac:dyDescent="0.25">
      <c r="I1638" s="8"/>
      <c r="K1638" s="8"/>
      <c r="L1638" s="8"/>
      <c r="M1638" s="8"/>
      <c r="N1638" s="8"/>
      <c r="O1638" s="8"/>
      <c r="P1638" s="8"/>
      <c r="Q1638" s="8"/>
    </row>
    <row r="1639" spans="9:17" s="1" customFormat="1" x14ac:dyDescent="0.25">
      <c r="I1639" s="8"/>
      <c r="K1639" s="8"/>
      <c r="L1639" s="8"/>
      <c r="M1639" s="8"/>
      <c r="N1639" s="8"/>
      <c r="O1639" s="8"/>
      <c r="P1639" s="8"/>
      <c r="Q1639" s="8"/>
    </row>
    <row r="1640" spans="9:17" s="1" customFormat="1" x14ac:dyDescent="0.25">
      <c r="I1640" s="8"/>
      <c r="K1640" s="8"/>
      <c r="L1640" s="8"/>
      <c r="M1640" s="8"/>
      <c r="N1640" s="8"/>
      <c r="O1640" s="8"/>
      <c r="P1640" s="8"/>
      <c r="Q1640" s="8"/>
    </row>
    <row r="1641" spans="9:17" s="1" customFormat="1" x14ac:dyDescent="0.25">
      <c r="I1641" s="8"/>
      <c r="K1641" s="8"/>
      <c r="L1641" s="8"/>
      <c r="M1641" s="8"/>
      <c r="N1641" s="8"/>
      <c r="O1641" s="8"/>
      <c r="P1641" s="8"/>
      <c r="Q1641" s="8"/>
    </row>
    <row r="1642" spans="9:17" s="1" customFormat="1" x14ac:dyDescent="0.25">
      <c r="I1642" s="8"/>
      <c r="K1642" s="8"/>
      <c r="L1642" s="8"/>
      <c r="M1642" s="8"/>
      <c r="N1642" s="8"/>
      <c r="O1642" s="8"/>
      <c r="P1642" s="8"/>
      <c r="Q1642" s="8"/>
    </row>
    <row r="1643" spans="9:17" s="1" customFormat="1" x14ac:dyDescent="0.25">
      <c r="I1643" s="8"/>
      <c r="K1643" s="8"/>
      <c r="L1643" s="8"/>
      <c r="M1643" s="8"/>
      <c r="N1643" s="8"/>
      <c r="O1643" s="8"/>
      <c r="P1643" s="8"/>
      <c r="Q1643" s="8"/>
    </row>
    <row r="1644" spans="9:17" s="1" customFormat="1" x14ac:dyDescent="0.25">
      <c r="I1644" s="8"/>
      <c r="K1644" s="8"/>
      <c r="L1644" s="8"/>
      <c r="M1644" s="8"/>
      <c r="N1644" s="8"/>
      <c r="O1644" s="8"/>
      <c r="P1644" s="8"/>
      <c r="Q1644" s="8"/>
    </row>
    <row r="1645" spans="9:17" s="1" customFormat="1" x14ac:dyDescent="0.25">
      <c r="I1645" s="8"/>
      <c r="K1645" s="8"/>
      <c r="L1645" s="8"/>
      <c r="M1645" s="8"/>
      <c r="N1645" s="8"/>
      <c r="O1645" s="8"/>
      <c r="P1645" s="8"/>
      <c r="Q1645" s="8"/>
    </row>
    <row r="1646" spans="9:17" s="1" customFormat="1" x14ac:dyDescent="0.25">
      <c r="I1646" s="8"/>
      <c r="K1646" s="8"/>
      <c r="L1646" s="8"/>
      <c r="M1646" s="8"/>
      <c r="N1646" s="8"/>
      <c r="O1646" s="8"/>
      <c r="P1646" s="8"/>
      <c r="Q1646" s="8"/>
    </row>
    <row r="1647" spans="9:17" s="1" customFormat="1" x14ac:dyDescent="0.25">
      <c r="I1647" s="8"/>
      <c r="K1647" s="8"/>
      <c r="L1647" s="8"/>
      <c r="M1647" s="8"/>
      <c r="N1647" s="8"/>
      <c r="O1647" s="8"/>
      <c r="P1647" s="8"/>
      <c r="Q1647" s="8"/>
    </row>
    <row r="1648" spans="9:17" s="1" customFormat="1" x14ac:dyDescent="0.25">
      <c r="I1648" s="8"/>
      <c r="K1648" s="8"/>
      <c r="L1648" s="8"/>
      <c r="M1648" s="8"/>
      <c r="N1648" s="8"/>
      <c r="O1648" s="8"/>
      <c r="P1648" s="8"/>
      <c r="Q1648" s="8"/>
    </row>
    <row r="1649" spans="9:17" s="1" customFormat="1" x14ac:dyDescent="0.25">
      <c r="I1649" s="8"/>
      <c r="K1649" s="8"/>
      <c r="L1649" s="8"/>
      <c r="M1649" s="8"/>
      <c r="N1649" s="8"/>
      <c r="O1649" s="8"/>
      <c r="P1649" s="8"/>
      <c r="Q1649" s="8"/>
    </row>
    <row r="1650" spans="9:17" s="1" customFormat="1" x14ac:dyDescent="0.25">
      <c r="I1650" s="8"/>
      <c r="K1650" s="8"/>
      <c r="L1650" s="8"/>
      <c r="M1650" s="8"/>
      <c r="N1650" s="8"/>
      <c r="O1650" s="8"/>
      <c r="P1650" s="8"/>
      <c r="Q1650" s="8"/>
    </row>
    <row r="1651" spans="9:17" s="1" customFormat="1" x14ac:dyDescent="0.25">
      <c r="I1651" s="8"/>
      <c r="K1651" s="8"/>
      <c r="L1651" s="8"/>
      <c r="M1651" s="8"/>
      <c r="N1651" s="8"/>
      <c r="O1651" s="8"/>
      <c r="P1651" s="8"/>
      <c r="Q1651" s="8"/>
    </row>
    <row r="1652" spans="9:17" s="1" customFormat="1" x14ac:dyDescent="0.25">
      <c r="I1652" s="8"/>
      <c r="K1652" s="8"/>
      <c r="L1652" s="8"/>
      <c r="M1652" s="8"/>
      <c r="N1652" s="8"/>
      <c r="O1652" s="8"/>
      <c r="P1652" s="8"/>
      <c r="Q1652" s="8"/>
    </row>
    <row r="1653" spans="9:17" s="1" customFormat="1" x14ac:dyDescent="0.25">
      <c r="I1653" s="8"/>
      <c r="K1653" s="8"/>
      <c r="L1653" s="8"/>
      <c r="M1653" s="8"/>
      <c r="N1653" s="8"/>
      <c r="O1653" s="8"/>
      <c r="P1653" s="8"/>
      <c r="Q1653" s="8"/>
    </row>
    <row r="1654" spans="9:17" s="1" customFormat="1" x14ac:dyDescent="0.25">
      <c r="I1654" s="8"/>
      <c r="K1654" s="8"/>
      <c r="L1654" s="8"/>
      <c r="M1654" s="8"/>
      <c r="N1654" s="8"/>
      <c r="O1654" s="8"/>
      <c r="P1654" s="8"/>
      <c r="Q1654" s="8"/>
    </row>
    <row r="1655" spans="9:17" s="1" customFormat="1" x14ac:dyDescent="0.25">
      <c r="I1655" s="8"/>
      <c r="K1655" s="8"/>
      <c r="L1655" s="8"/>
      <c r="M1655" s="8"/>
      <c r="N1655" s="8"/>
      <c r="O1655" s="8"/>
      <c r="P1655" s="8"/>
      <c r="Q1655" s="8"/>
    </row>
    <row r="1656" spans="9:17" s="1" customFormat="1" x14ac:dyDescent="0.25">
      <c r="I1656" s="8"/>
      <c r="K1656" s="8"/>
      <c r="L1656" s="8"/>
      <c r="M1656" s="8"/>
      <c r="N1656" s="8"/>
      <c r="O1656" s="8"/>
      <c r="P1656" s="8"/>
      <c r="Q1656" s="8"/>
    </row>
    <row r="1657" spans="9:17" s="1" customFormat="1" x14ac:dyDescent="0.25">
      <c r="I1657" s="8"/>
      <c r="K1657" s="8"/>
      <c r="L1657" s="8"/>
      <c r="M1657" s="8"/>
      <c r="N1657" s="8"/>
      <c r="O1657" s="8"/>
      <c r="P1657" s="8"/>
      <c r="Q1657" s="8"/>
    </row>
    <row r="1658" spans="9:17" s="1" customFormat="1" x14ac:dyDescent="0.25">
      <c r="I1658" s="8"/>
      <c r="K1658" s="8"/>
      <c r="L1658" s="8"/>
      <c r="M1658" s="8"/>
      <c r="N1658" s="8"/>
      <c r="O1658" s="8"/>
      <c r="P1658" s="8"/>
      <c r="Q1658" s="8"/>
    </row>
    <row r="1659" spans="9:17" s="1" customFormat="1" x14ac:dyDescent="0.25">
      <c r="I1659" s="8"/>
      <c r="K1659" s="8"/>
      <c r="L1659" s="8"/>
      <c r="M1659" s="8"/>
      <c r="N1659" s="8"/>
      <c r="O1659" s="8"/>
      <c r="P1659" s="8"/>
      <c r="Q1659" s="8"/>
    </row>
    <row r="1660" spans="9:17" s="1" customFormat="1" x14ac:dyDescent="0.25">
      <c r="I1660" s="8"/>
      <c r="K1660" s="8"/>
      <c r="L1660" s="8"/>
      <c r="M1660" s="8"/>
      <c r="N1660" s="8"/>
      <c r="O1660" s="8"/>
      <c r="P1660" s="8"/>
      <c r="Q1660" s="8"/>
    </row>
    <row r="1661" spans="9:17" s="1" customFormat="1" x14ac:dyDescent="0.25">
      <c r="I1661" s="8"/>
      <c r="K1661" s="8"/>
      <c r="L1661" s="8"/>
      <c r="M1661" s="8"/>
      <c r="N1661" s="8"/>
      <c r="O1661" s="8"/>
      <c r="P1661" s="8"/>
      <c r="Q1661" s="8"/>
    </row>
    <row r="1662" spans="9:17" s="1" customFormat="1" x14ac:dyDescent="0.25">
      <c r="I1662" s="8"/>
      <c r="K1662" s="8"/>
      <c r="L1662" s="8"/>
      <c r="M1662" s="8"/>
      <c r="N1662" s="8"/>
      <c r="O1662" s="8"/>
      <c r="P1662" s="8"/>
      <c r="Q1662" s="8"/>
    </row>
    <row r="1663" spans="9:17" s="1" customFormat="1" x14ac:dyDescent="0.25">
      <c r="I1663" s="8"/>
      <c r="K1663" s="8"/>
      <c r="L1663" s="8"/>
      <c r="M1663" s="8"/>
      <c r="N1663" s="8"/>
      <c r="O1663" s="8"/>
      <c r="P1663" s="8"/>
      <c r="Q1663" s="8"/>
    </row>
    <row r="1664" spans="9:17" s="1" customFormat="1" x14ac:dyDescent="0.25">
      <c r="I1664" s="8"/>
      <c r="K1664" s="8"/>
      <c r="L1664" s="8"/>
      <c r="M1664" s="8"/>
      <c r="N1664" s="8"/>
      <c r="O1664" s="8"/>
      <c r="P1664" s="8"/>
      <c r="Q1664" s="8"/>
    </row>
    <row r="1665" spans="9:17" s="1" customFormat="1" x14ac:dyDescent="0.25">
      <c r="I1665" s="8"/>
      <c r="K1665" s="8"/>
      <c r="L1665" s="8"/>
      <c r="M1665" s="8"/>
      <c r="N1665" s="8"/>
      <c r="O1665" s="8"/>
      <c r="P1665" s="8"/>
      <c r="Q1665" s="8"/>
    </row>
    <row r="1666" spans="9:17" s="1" customFormat="1" x14ac:dyDescent="0.25">
      <c r="I1666" s="8"/>
      <c r="K1666" s="8"/>
      <c r="L1666" s="8"/>
      <c r="M1666" s="8"/>
      <c r="N1666" s="8"/>
      <c r="O1666" s="8"/>
      <c r="P1666" s="8"/>
      <c r="Q1666" s="8"/>
    </row>
    <row r="1667" spans="9:17" s="1" customFormat="1" x14ac:dyDescent="0.25">
      <c r="I1667" s="8"/>
      <c r="K1667" s="8"/>
      <c r="L1667" s="8"/>
      <c r="M1667" s="8"/>
      <c r="N1667" s="8"/>
      <c r="O1667" s="8"/>
      <c r="P1667" s="8"/>
      <c r="Q1667" s="8"/>
    </row>
    <row r="1668" spans="9:17" s="1" customFormat="1" x14ac:dyDescent="0.25">
      <c r="I1668" s="8"/>
      <c r="K1668" s="8"/>
      <c r="L1668" s="8"/>
      <c r="M1668" s="8"/>
      <c r="N1668" s="8"/>
      <c r="O1668" s="8"/>
      <c r="P1668" s="8"/>
      <c r="Q1668" s="8"/>
    </row>
    <row r="1669" spans="9:17" s="1" customFormat="1" x14ac:dyDescent="0.25">
      <c r="I1669" s="8"/>
      <c r="K1669" s="8"/>
      <c r="L1669" s="8"/>
      <c r="M1669" s="8"/>
      <c r="N1669" s="8"/>
      <c r="O1669" s="8"/>
      <c r="P1669" s="8"/>
      <c r="Q1669" s="8"/>
    </row>
    <row r="1670" spans="9:17" s="1" customFormat="1" x14ac:dyDescent="0.25">
      <c r="I1670" s="8"/>
      <c r="K1670" s="8"/>
      <c r="L1670" s="8"/>
      <c r="M1670" s="8"/>
      <c r="N1670" s="8"/>
      <c r="O1670" s="8"/>
      <c r="P1670" s="8"/>
      <c r="Q1670" s="8"/>
    </row>
    <row r="1671" spans="9:17" s="1" customFormat="1" x14ac:dyDescent="0.25">
      <c r="I1671" s="8"/>
      <c r="K1671" s="8"/>
      <c r="L1671" s="8"/>
      <c r="M1671" s="8"/>
      <c r="N1671" s="8"/>
      <c r="O1671" s="8"/>
      <c r="P1671" s="8"/>
      <c r="Q1671" s="8"/>
    </row>
    <row r="1672" spans="9:17" s="1" customFormat="1" x14ac:dyDescent="0.25">
      <c r="I1672" s="8"/>
      <c r="K1672" s="8"/>
      <c r="L1672" s="8"/>
      <c r="M1672" s="8"/>
      <c r="N1672" s="8"/>
      <c r="O1672" s="8"/>
      <c r="P1672" s="8"/>
      <c r="Q1672" s="8"/>
    </row>
    <row r="1673" spans="9:17" s="1" customFormat="1" x14ac:dyDescent="0.25">
      <c r="I1673" s="8"/>
      <c r="K1673" s="8"/>
      <c r="L1673" s="8"/>
      <c r="M1673" s="8"/>
      <c r="N1673" s="8"/>
      <c r="O1673" s="8"/>
      <c r="P1673" s="8"/>
      <c r="Q1673" s="8"/>
    </row>
    <row r="1674" spans="9:17" s="1" customFormat="1" x14ac:dyDescent="0.25">
      <c r="I1674" s="8"/>
      <c r="K1674" s="8"/>
      <c r="L1674" s="8"/>
      <c r="M1674" s="8"/>
      <c r="N1674" s="8"/>
      <c r="O1674" s="8"/>
      <c r="P1674" s="8"/>
      <c r="Q1674" s="8"/>
    </row>
    <row r="1675" spans="9:17" s="1" customFormat="1" x14ac:dyDescent="0.25">
      <c r="I1675" s="8"/>
      <c r="K1675" s="8"/>
      <c r="L1675" s="8"/>
      <c r="M1675" s="8"/>
      <c r="N1675" s="8"/>
      <c r="O1675" s="8"/>
      <c r="P1675" s="8"/>
      <c r="Q1675" s="8"/>
    </row>
    <row r="1676" spans="9:17" s="1" customFormat="1" x14ac:dyDescent="0.25">
      <c r="I1676" s="8"/>
      <c r="K1676" s="8"/>
      <c r="L1676" s="8"/>
      <c r="M1676" s="8"/>
      <c r="N1676" s="8"/>
      <c r="O1676" s="8"/>
      <c r="P1676" s="8"/>
      <c r="Q1676" s="8"/>
    </row>
    <row r="1677" spans="9:17" s="1" customFormat="1" x14ac:dyDescent="0.25">
      <c r="I1677" s="8"/>
      <c r="K1677" s="8"/>
      <c r="L1677" s="8"/>
      <c r="M1677" s="8"/>
      <c r="N1677" s="8"/>
      <c r="O1677" s="8"/>
      <c r="P1677" s="8"/>
      <c r="Q1677" s="8"/>
    </row>
    <row r="1678" spans="9:17" s="1" customFormat="1" x14ac:dyDescent="0.25">
      <c r="I1678" s="8"/>
      <c r="K1678" s="8"/>
      <c r="L1678" s="8"/>
      <c r="M1678" s="8"/>
      <c r="N1678" s="8"/>
      <c r="O1678" s="8"/>
      <c r="P1678" s="8"/>
      <c r="Q1678" s="8"/>
    </row>
    <row r="1679" spans="9:17" s="1" customFormat="1" x14ac:dyDescent="0.25">
      <c r="I1679" s="8"/>
      <c r="K1679" s="8"/>
      <c r="L1679" s="8"/>
      <c r="M1679" s="8"/>
      <c r="N1679" s="8"/>
      <c r="O1679" s="8"/>
      <c r="P1679" s="8"/>
      <c r="Q1679" s="8"/>
    </row>
    <row r="1680" spans="9:17" s="1" customFormat="1" x14ac:dyDescent="0.25">
      <c r="I1680" s="8"/>
      <c r="K1680" s="8"/>
      <c r="L1680" s="8"/>
      <c r="M1680" s="8"/>
      <c r="N1680" s="8"/>
      <c r="O1680" s="8"/>
      <c r="P1680" s="8"/>
      <c r="Q1680" s="8"/>
    </row>
    <row r="1681" spans="9:17" s="1" customFormat="1" x14ac:dyDescent="0.25">
      <c r="I1681" s="8"/>
      <c r="K1681" s="8"/>
      <c r="L1681" s="8"/>
      <c r="M1681" s="8"/>
      <c r="N1681" s="8"/>
      <c r="O1681" s="8"/>
      <c r="P1681" s="8"/>
      <c r="Q1681" s="8"/>
    </row>
    <row r="1682" spans="9:17" s="1" customFormat="1" x14ac:dyDescent="0.25">
      <c r="I1682" s="8"/>
      <c r="K1682" s="8"/>
      <c r="L1682" s="8"/>
      <c r="M1682" s="8"/>
      <c r="N1682" s="8"/>
      <c r="O1682" s="8"/>
      <c r="P1682" s="8"/>
      <c r="Q1682" s="8"/>
    </row>
    <row r="1683" spans="9:17" s="1" customFormat="1" x14ac:dyDescent="0.25">
      <c r="I1683" s="8"/>
      <c r="K1683" s="8"/>
      <c r="L1683" s="8"/>
      <c r="M1683" s="8"/>
      <c r="N1683" s="8"/>
      <c r="O1683" s="8"/>
      <c r="P1683" s="8"/>
      <c r="Q1683" s="8"/>
    </row>
    <row r="1684" spans="9:17" s="1" customFormat="1" x14ac:dyDescent="0.25">
      <c r="I1684" s="8"/>
      <c r="K1684" s="8"/>
      <c r="L1684" s="8"/>
      <c r="M1684" s="8"/>
      <c r="N1684" s="8"/>
      <c r="O1684" s="8"/>
      <c r="P1684" s="8"/>
      <c r="Q1684" s="8"/>
    </row>
    <row r="1685" spans="9:17" s="1" customFormat="1" x14ac:dyDescent="0.25">
      <c r="I1685" s="8"/>
      <c r="K1685" s="8"/>
      <c r="L1685" s="8"/>
      <c r="M1685" s="8"/>
      <c r="N1685" s="8"/>
      <c r="O1685" s="8"/>
      <c r="P1685" s="8"/>
      <c r="Q1685" s="8"/>
    </row>
    <row r="1686" spans="9:17" s="1" customFormat="1" x14ac:dyDescent="0.25">
      <c r="I1686" s="8"/>
      <c r="K1686" s="8"/>
      <c r="L1686" s="8"/>
      <c r="M1686" s="8"/>
      <c r="N1686" s="8"/>
      <c r="O1686" s="8"/>
      <c r="P1686" s="8"/>
      <c r="Q1686" s="8"/>
    </row>
    <row r="1687" spans="9:17" s="1" customFormat="1" x14ac:dyDescent="0.25">
      <c r="I1687" s="8"/>
      <c r="K1687" s="8"/>
      <c r="L1687" s="8"/>
      <c r="M1687" s="8"/>
      <c r="N1687" s="8"/>
      <c r="O1687" s="8"/>
      <c r="P1687" s="8"/>
      <c r="Q1687" s="8"/>
    </row>
    <row r="1688" spans="9:17" s="1" customFormat="1" x14ac:dyDescent="0.25">
      <c r="I1688" s="8"/>
      <c r="K1688" s="8"/>
      <c r="L1688" s="8"/>
      <c r="M1688" s="8"/>
      <c r="N1688" s="8"/>
      <c r="O1688" s="8"/>
      <c r="P1688" s="8"/>
      <c r="Q1688" s="8"/>
    </row>
    <row r="1689" spans="9:17" s="1" customFormat="1" x14ac:dyDescent="0.25">
      <c r="I1689" s="8"/>
      <c r="K1689" s="8"/>
      <c r="L1689" s="8"/>
      <c r="M1689" s="8"/>
      <c r="N1689" s="8"/>
      <c r="O1689" s="8"/>
      <c r="P1689" s="8"/>
      <c r="Q1689" s="8"/>
    </row>
    <row r="1690" spans="9:17" s="1" customFormat="1" x14ac:dyDescent="0.25">
      <c r="I1690" s="8"/>
      <c r="K1690" s="8"/>
      <c r="L1690" s="8"/>
      <c r="M1690" s="8"/>
      <c r="N1690" s="8"/>
      <c r="O1690" s="8"/>
      <c r="P1690" s="8"/>
      <c r="Q1690" s="8"/>
    </row>
    <row r="1691" spans="9:17" s="1" customFormat="1" x14ac:dyDescent="0.25">
      <c r="I1691" s="8"/>
      <c r="K1691" s="8"/>
      <c r="L1691" s="8"/>
      <c r="M1691" s="8"/>
      <c r="N1691" s="8"/>
      <c r="O1691" s="8"/>
      <c r="P1691" s="8"/>
      <c r="Q1691" s="8"/>
    </row>
    <row r="1692" spans="9:17" s="1" customFormat="1" x14ac:dyDescent="0.25">
      <c r="I1692" s="8"/>
      <c r="K1692" s="8"/>
      <c r="L1692" s="8"/>
      <c r="M1692" s="8"/>
      <c r="N1692" s="8"/>
      <c r="O1692" s="8"/>
      <c r="P1692" s="8"/>
      <c r="Q1692" s="8"/>
    </row>
    <row r="1693" spans="9:17" s="1" customFormat="1" x14ac:dyDescent="0.25">
      <c r="I1693" s="8"/>
      <c r="K1693" s="8"/>
      <c r="L1693" s="8"/>
      <c r="M1693" s="8"/>
      <c r="N1693" s="8"/>
      <c r="O1693" s="8"/>
      <c r="P1693" s="8"/>
      <c r="Q1693" s="8"/>
    </row>
    <row r="1694" spans="9:17" s="1" customFormat="1" x14ac:dyDescent="0.25">
      <c r="I1694" s="8"/>
      <c r="K1694" s="8"/>
      <c r="L1694" s="8"/>
      <c r="M1694" s="8"/>
      <c r="N1694" s="8"/>
      <c r="O1694" s="8"/>
      <c r="P1694" s="8"/>
      <c r="Q1694" s="8"/>
    </row>
    <row r="1695" spans="9:17" s="1" customFormat="1" x14ac:dyDescent="0.25">
      <c r="I1695" s="8"/>
      <c r="K1695" s="8"/>
      <c r="L1695" s="8"/>
      <c r="M1695" s="8"/>
      <c r="N1695" s="8"/>
      <c r="O1695" s="8"/>
      <c r="P1695" s="8"/>
      <c r="Q1695" s="8"/>
    </row>
    <row r="1696" spans="9:17" s="1" customFormat="1" x14ac:dyDescent="0.25">
      <c r="I1696" s="8"/>
      <c r="K1696" s="8"/>
      <c r="L1696" s="8"/>
      <c r="M1696" s="8"/>
      <c r="N1696" s="8"/>
      <c r="O1696" s="8"/>
      <c r="P1696" s="8"/>
      <c r="Q1696" s="8"/>
    </row>
    <row r="1697" spans="9:17" s="1" customFormat="1" x14ac:dyDescent="0.25">
      <c r="I1697" s="8"/>
      <c r="K1697" s="8"/>
      <c r="L1697" s="8"/>
      <c r="M1697" s="8"/>
      <c r="N1697" s="8"/>
      <c r="O1697" s="8"/>
      <c r="P1697" s="8"/>
      <c r="Q1697" s="8"/>
    </row>
    <row r="1698" spans="9:17" s="1" customFormat="1" x14ac:dyDescent="0.25">
      <c r="I1698" s="8"/>
      <c r="K1698" s="8"/>
      <c r="L1698" s="8"/>
      <c r="M1698" s="8"/>
      <c r="N1698" s="8"/>
      <c r="O1698" s="8"/>
      <c r="P1698" s="8"/>
      <c r="Q1698" s="8"/>
    </row>
    <row r="1699" spans="9:17" s="1" customFormat="1" x14ac:dyDescent="0.25">
      <c r="I1699" s="8"/>
      <c r="K1699" s="8"/>
      <c r="L1699" s="8"/>
      <c r="M1699" s="8"/>
      <c r="N1699" s="8"/>
      <c r="O1699" s="8"/>
      <c r="P1699" s="8"/>
      <c r="Q1699" s="8"/>
    </row>
    <row r="1700" spans="9:17" s="1" customFormat="1" x14ac:dyDescent="0.25">
      <c r="I1700" s="8"/>
      <c r="K1700" s="8"/>
      <c r="L1700" s="8"/>
      <c r="M1700" s="8"/>
      <c r="N1700" s="8"/>
      <c r="O1700" s="8"/>
      <c r="P1700" s="8"/>
      <c r="Q1700" s="8"/>
    </row>
    <row r="1701" spans="9:17" s="1" customFormat="1" x14ac:dyDescent="0.25">
      <c r="I1701" s="8"/>
      <c r="K1701" s="8"/>
      <c r="L1701" s="8"/>
      <c r="M1701" s="8"/>
      <c r="N1701" s="8"/>
      <c r="O1701" s="8"/>
      <c r="P1701" s="8"/>
      <c r="Q1701" s="8"/>
    </row>
    <row r="1702" spans="9:17" s="1" customFormat="1" x14ac:dyDescent="0.25">
      <c r="I1702" s="8"/>
      <c r="K1702" s="8"/>
      <c r="L1702" s="8"/>
      <c r="M1702" s="8"/>
      <c r="N1702" s="8"/>
      <c r="O1702" s="8"/>
      <c r="P1702" s="8"/>
      <c r="Q1702" s="8"/>
    </row>
    <row r="1703" spans="9:17" s="1" customFormat="1" x14ac:dyDescent="0.25">
      <c r="I1703" s="8"/>
      <c r="K1703" s="8"/>
      <c r="L1703" s="8"/>
      <c r="M1703" s="8"/>
      <c r="N1703" s="8"/>
      <c r="O1703" s="8"/>
      <c r="P1703" s="8"/>
      <c r="Q1703" s="8"/>
    </row>
    <row r="1704" spans="9:17" s="1" customFormat="1" x14ac:dyDescent="0.25">
      <c r="I1704" s="8"/>
      <c r="K1704" s="8"/>
      <c r="L1704" s="8"/>
      <c r="M1704" s="8"/>
      <c r="N1704" s="8"/>
      <c r="O1704" s="8"/>
      <c r="P1704" s="8"/>
      <c r="Q1704" s="8"/>
    </row>
    <row r="1705" spans="9:17" s="1" customFormat="1" x14ac:dyDescent="0.25">
      <c r="I1705" s="8"/>
      <c r="K1705" s="8"/>
      <c r="L1705" s="8"/>
      <c r="M1705" s="8"/>
      <c r="N1705" s="8"/>
      <c r="O1705" s="8"/>
      <c r="P1705" s="8"/>
      <c r="Q1705" s="8"/>
    </row>
    <row r="1706" spans="9:17" s="1" customFormat="1" x14ac:dyDescent="0.25">
      <c r="I1706" s="8"/>
      <c r="K1706" s="8"/>
      <c r="L1706" s="8"/>
      <c r="M1706" s="8"/>
      <c r="N1706" s="8"/>
      <c r="O1706" s="8"/>
      <c r="P1706" s="8"/>
      <c r="Q1706" s="8"/>
    </row>
    <row r="1707" spans="9:17" s="1" customFormat="1" x14ac:dyDescent="0.25">
      <c r="I1707" s="8"/>
      <c r="K1707" s="8"/>
      <c r="L1707" s="8"/>
      <c r="M1707" s="8"/>
      <c r="N1707" s="8"/>
      <c r="O1707" s="8"/>
      <c r="P1707" s="8"/>
      <c r="Q1707" s="8"/>
    </row>
    <row r="1708" spans="9:17" s="1" customFormat="1" x14ac:dyDescent="0.25">
      <c r="I1708" s="8"/>
      <c r="K1708" s="8"/>
      <c r="L1708" s="8"/>
      <c r="M1708" s="8"/>
      <c r="N1708" s="8"/>
      <c r="O1708" s="8"/>
      <c r="P1708" s="8"/>
      <c r="Q1708" s="8"/>
    </row>
    <row r="1709" spans="9:17" s="1" customFormat="1" x14ac:dyDescent="0.25">
      <c r="I1709" s="8"/>
      <c r="K1709" s="8"/>
      <c r="L1709" s="8"/>
      <c r="M1709" s="8"/>
      <c r="N1709" s="8"/>
      <c r="O1709" s="8"/>
      <c r="P1709" s="8"/>
      <c r="Q1709" s="8"/>
    </row>
    <row r="1710" spans="9:17" s="1" customFormat="1" x14ac:dyDescent="0.25">
      <c r="I1710" s="8"/>
      <c r="K1710" s="8"/>
      <c r="L1710" s="8"/>
      <c r="M1710" s="8"/>
      <c r="N1710" s="8"/>
      <c r="O1710" s="8"/>
      <c r="P1710" s="8"/>
      <c r="Q1710" s="8"/>
    </row>
    <row r="1711" spans="9:17" s="1" customFormat="1" x14ac:dyDescent="0.25">
      <c r="I1711" s="8"/>
      <c r="K1711" s="8"/>
      <c r="L1711" s="8"/>
      <c r="M1711" s="8"/>
      <c r="N1711" s="8"/>
      <c r="O1711" s="8"/>
      <c r="P1711" s="8"/>
      <c r="Q1711" s="8"/>
    </row>
    <row r="1712" spans="9:17" s="1" customFormat="1" x14ac:dyDescent="0.25">
      <c r="I1712" s="8"/>
      <c r="K1712" s="8"/>
      <c r="L1712" s="8"/>
      <c r="M1712" s="8"/>
      <c r="N1712" s="8"/>
      <c r="O1712" s="8"/>
      <c r="P1712" s="8"/>
      <c r="Q1712" s="8"/>
    </row>
    <row r="1713" spans="9:17" s="1" customFormat="1" x14ac:dyDescent="0.25">
      <c r="I1713" s="8"/>
      <c r="K1713" s="8"/>
      <c r="L1713" s="8"/>
      <c r="M1713" s="8"/>
      <c r="N1713" s="8"/>
      <c r="O1713" s="8"/>
      <c r="P1713" s="8"/>
      <c r="Q1713" s="8"/>
    </row>
    <row r="1714" spans="9:17" s="1" customFormat="1" x14ac:dyDescent="0.25">
      <c r="I1714" s="8"/>
      <c r="K1714" s="8"/>
      <c r="L1714" s="8"/>
      <c r="M1714" s="8"/>
      <c r="N1714" s="8"/>
      <c r="O1714" s="8"/>
      <c r="P1714" s="8"/>
      <c r="Q1714" s="8"/>
    </row>
    <row r="1715" spans="9:17" s="1" customFormat="1" x14ac:dyDescent="0.25">
      <c r="I1715" s="8"/>
      <c r="K1715" s="8"/>
      <c r="L1715" s="8"/>
      <c r="M1715" s="8"/>
      <c r="N1715" s="8"/>
      <c r="O1715" s="8"/>
      <c r="P1715" s="8"/>
      <c r="Q1715" s="8"/>
    </row>
    <row r="1716" spans="9:17" s="1" customFormat="1" x14ac:dyDescent="0.25">
      <c r="I1716" s="8"/>
      <c r="K1716" s="8"/>
      <c r="L1716" s="8"/>
      <c r="M1716" s="8"/>
      <c r="N1716" s="8"/>
      <c r="O1716" s="8"/>
      <c r="P1716" s="8"/>
      <c r="Q1716" s="8"/>
    </row>
    <row r="1717" spans="9:17" s="1" customFormat="1" x14ac:dyDescent="0.25">
      <c r="I1717" s="8"/>
      <c r="K1717" s="8"/>
      <c r="L1717" s="8"/>
      <c r="M1717" s="8"/>
      <c r="N1717" s="8"/>
      <c r="O1717" s="8"/>
      <c r="P1717" s="8"/>
      <c r="Q1717" s="8"/>
    </row>
    <row r="1718" spans="9:17" s="1" customFormat="1" x14ac:dyDescent="0.25">
      <c r="I1718" s="8"/>
      <c r="K1718" s="8"/>
      <c r="L1718" s="8"/>
      <c r="M1718" s="8"/>
      <c r="N1718" s="8"/>
      <c r="O1718" s="8"/>
      <c r="P1718" s="8"/>
      <c r="Q1718" s="8"/>
    </row>
    <row r="1719" spans="9:17" s="1" customFormat="1" x14ac:dyDescent="0.25">
      <c r="I1719" s="8"/>
      <c r="K1719" s="8"/>
      <c r="L1719" s="8"/>
      <c r="M1719" s="8"/>
      <c r="N1719" s="8"/>
      <c r="O1719" s="8"/>
      <c r="P1719" s="8"/>
      <c r="Q1719" s="8"/>
    </row>
    <row r="1720" spans="9:17" s="1" customFormat="1" x14ac:dyDescent="0.25">
      <c r="I1720" s="8"/>
      <c r="K1720" s="8"/>
      <c r="L1720" s="8"/>
      <c r="M1720" s="8"/>
      <c r="N1720" s="8"/>
      <c r="O1720" s="8"/>
      <c r="P1720" s="8"/>
      <c r="Q1720" s="8"/>
    </row>
    <row r="1721" spans="9:17" s="1" customFormat="1" x14ac:dyDescent="0.25">
      <c r="I1721" s="8"/>
      <c r="K1721" s="8"/>
      <c r="L1721" s="8"/>
      <c r="M1721" s="8"/>
      <c r="N1721" s="8"/>
      <c r="O1721" s="8"/>
      <c r="P1721" s="8"/>
      <c r="Q1721" s="8"/>
    </row>
    <row r="1722" spans="9:17" s="1" customFormat="1" x14ac:dyDescent="0.25">
      <c r="I1722" s="8"/>
      <c r="K1722" s="8"/>
      <c r="L1722" s="8"/>
      <c r="M1722" s="8"/>
      <c r="N1722" s="8"/>
      <c r="O1722" s="8"/>
      <c r="P1722" s="8"/>
      <c r="Q1722" s="8"/>
    </row>
    <row r="1723" spans="9:17" s="1" customFormat="1" x14ac:dyDescent="0.25">
      <c r="I1723" s="8"/>
      <c r="K1723" s="8"/>
      <c r="L1723" s="8"/>
      <c r="M1723" s="8"/>
      <c r="N1723" s="8"/>
      <c r="O1723" s="8"/>
      <c r="P1723" s="8"/>
      <c r="Q1723" s="8"/>
    </row>
    <row r="1724" spans="9:17" s="1" customFormat="1" x14ac:dyDescent="0.25">
      <c r="I1724" s="8"/>
      <c r="K1724" s="8"/>
      <c r="L1724" s="8"/>
      <c r="M1724" s="8"/>
      <c r="N1724" s="8"/>
      <c r="O1724" s="8"/>
      <c r="P1724" s="8"/>
      <c r="Q1724" s="8"/>
    </row>
    <row r="1725" spans="9:17" s="1" customFormat="1" x14ac:dyDescent="0.25">
      <c r="I1725" s="8"/>
      <c r="K1725" s="8"/>
      <c r="L1725" s="8"/>
      <c r="M1725" s="8"/>
      <c r="N1725" s="8"/>
      <c r="O1725" s="8"/>
      <c r="P1725" s="8"/>
      <c r="Q1725" s="8"/>
    </row>
    <row r="1726" spans="9:17" s="1" customFormat="1" x14ac:dyDescent="0.25">
      <c r="I1726" s="8"/>
      <c r="K1726" s="8"/>
      <c r="L1726" s="8"/>
      <c r="M1726" s="8"/>
      <c r="N1726" s="8"/>
      <c r="O1726" s="8"/>
      <c r="P1726" s="8"/>
      <c r="Q1726" s="8"/>
    </row>
    <row r="1727" spans="9:17" s="1" customFormat="1" x14ac:dyDescent="0.25">
      <c r="I1727" s="8"/>
      <c r="K1727" s="8"/>
      <c r="L1727" s="8"/>
      <c r="M1727" s="8"/>
      <c r="N1727" s="8"/>
      <c r="O1727" s="8"/>
      <c r="P1727" s="8"/>
      <c r="Q1727" s="8"/>
    </row>
    <row r="1728" spans="9:17" s="1" customFormat="1" x14ac:dyDescent="0.25">
      <c r="I1728" s="8"/>
      <c r="K1728" s="8"/>
      <c r="L1728" s="8"/>
      <c r="M1728" s="8"/>
      <c r="N1728" s="8"/>
      <c r="O1728" s="8"/>
      <c r="P1728" s="8"/>
      <c r="Q1728" s="8"/>
    </row>
    <row r="1729" spans="9:17" s="1" customFormat="1" x14ac:dyDescent="0.25">
      <c r="I1729" s="8"/>
      <c r="K1729" s="8"/>
      <c r="L1729" s="8"/>
      <c r="M1729" s="8"/>
      <c r="N1729" s="8"/>
      <c r="O1729" s="8"/>
      <c r="P1729" s="8"/>
      <c r="Q1729" s="8"/>
    </row>
    <row r="1730" spans="9:17" s="1" customFormat="1" x14ac:dyDescent="0.25">
      <c r="I1730" s="8"/>
      <c r="K1730" s="8"/>
      <c r="L1730" s="8"/>
      <c r="M1730" s="8"/>
      <c r="N1730" s="8"/>
      <c r="O1730" s="8"/>
      <c r="P1730" s="8"/>
      <c r="Q1730" s="8"/>
    </row>
    <row r="1731" spans="9:17" s="1" customFormat="1" x14ac:dyDescent="0.25">
      <c r="I1731" s="8"/>
      <c r="K1731" s="8"/>
      <c r="L1731" s="8"/>
      <c r="M1731" s="8"/>
      <c r="N1731" s="8"/>
      <c r="O1731" s="8"/>
      <c r="P1731" s="8"/>
      <c r="Q1731" s="8"/>
    </row>
    <row r="1732" spans="9:17" s="1" customFormat="1" x14ac:dyDescent="0.25">
      <c r="I1732" s="8"/>
      <c r="K1732" s="8"/>
      <c r="L1732" s="8"/>
      <c r="M1732" s="8"/>
      <c r="N1732" s="8"/>
      <c r="O1732" s="8"/>
      <c r="P1732" s="8"/>
      <c r="Q1732" s="8"/>
    </row>
    <row r="1733" spans="9:17" s="1" customFormat="1" x14ac:dyDescent="0.25">
      <c r="I1733" s="8"/>
      <c r="K1733" s="8"/>
      <c r="L1733" s="8"/>
      <c r="M1733" s="8"/>
      <c r="N1733" s="8"/>
      <c r="O1733" s="8"/>
      <c r="P1733" s="8"/>
      <c r="Q1733" s="8"/>
    </row>
    <row r="1734" spans="9:17" s="1" customFormat="1" x14ac:dyDescent="0.25">
      <c r="I1734" s="8"/>
      <c r="K1734" s="8"/>
      <c r="L1734" s="8"/>
      <c r="M1734" s="8"/>
      <c r="N1734" s="8"/>
      <c r="O1734" s="8"/>
      <c r="P1734" s="8"/>
      <c r="Q1734" s="8"/>
    </row>
    <row r="1735" spans="9:17" s="1" customFormat="1" x14ac:dyDescent="0.25">
      <c r="I1735" s="8"/>
      <c r="K1735" s="8"/>
      <c r="L1735" s="8"/>
      <c r="M1735" s="8"/>
      <c r="N1735" s="8"/>
      <c r="O1735" s="8"/>
      <c r="P1735" s="8"/>
      <c r="Q1735" s="8"/>
    </row>
    <row r="1736" spans="9:17" s="1" customFormat="1" x14ac:dyDescent="0.25">
      <c r="I1736" s="8"/>
      <c r="K1736" s="8"/>
      <c r="L1736" s="8"/>
      <c r="M1736" s="8"/>
      <c r="N1736" s="8"/>
      <c r="O1736" s="8"/>
      <c r="P1736" s="8"/>
      <c r="Q1736" s="8"/>
    </row>
    <row r="1737" spans="9:17" s="1" customFormat="1" x14ac:dyDescent="0.25">
      <c r="I1737" s="8"/>
      <c r="K1737" s="8"/>
      <c r="L1737" s="8"/>
      <c r="M1737" s="8"/>
      <c r="N1737" s="8"/>
      <c r="O1737" s="8"/>
      <c r="P1737" s="8"/>
      <c r="Q1737" s="8"/>
    </row>
    <row r="1738" spans="9:17" s="1" customFormat="1" x14ac:dyDescent="0.25">
      <c r="I1738" s="8"/>
      <c r="K1738" s="8"/>
      <c r="L1738" s="8"/>
      <c r="M1738" s="8"/>
      <c r="N1738" s="8"/>
      <c r="O1738" s="8"/>
      <c r="P1738" s="8"/>
      <c r="Q1738" s="8"/>
    </row>
    <row r="1739" spans="9:17" s="1" customFormat="1" x14ac:dyDescent="0.25">
      <c r="I1739" s="8"/>
      <c r="K1739" s="8"/>
      <c r="L1739" s="8"/>
      <c r="M1739" s="8"/>
      <c r="N1739" s="8"/>
      <c r="O1739" s="8"/>
      <c r="P1739" s="8"/>
      <c r="Q1739" s="8"/>
    </row>
    <row r="1740" spans="9:17" s="1" customFormat="1" x14ac:dyDescent="0.25">
      <c r="I1740" s="8"/>
      <c r="K1740" s="8"/>
      <c r="L1740" s="8"/>
      <c r="M1740" s="8"/>
      <c r="N1740" s="8"/>
      <c r="O1740" s="8"/>
      <c r="P1740" s="8"/>
      <c r="Q1740" s="8"/>
    </row>
    <row r="1741" spans="9:17" s="1" customFormat="1" x14ac:dyDescent="0.25">
      <c r="I1741" s="8"/>
      <c r="K1741" s="8"/>
      <c r="L1741" s="8"/>
      <c r="M1741" s="8"/>
      <c r="N1741" s="8"/>
      <c r="O1741" s="8"/>
      <c r="P1741" s="8"/>
      <c r="Q1741" s="8"/>
    </row>
    <row r="1742" spans="9:17" s="1" customFormat="1" x14ac:dyDescent="0.25">
      <c r="I1742" s="8"/>
      <c r="K1742" s="8"/>
      <c r="L1742" s="8"/>
      <c r="M1742" s="8"/>
      <c r="N1742" s="8"/>
      <c r="O1742" s="8"/>
      <c r="P1742" s="8"/>
      <c r="Q1742" s="8"/>
    </row>
    <row r="1743" spans="9:17" s="1" customFormat="1" x14ac:dyDescent="0.25">
      <c r="I1743" s="8"/>
      <c r="K1743" s="8"/>
      <c r="L1743" s="8"/>
      <c r="M1743" s="8"/>
      <c r="N1743" s="8"/>
      <c r="O1743" s="8"/>
      <c r="P1743" s="8"/>
      <c r="Q1743" s="8"/>
    </row>
    <row r="1744" spans="9:17" s="1" customFormat="1" x14ac:dyDescent="0.25">
      <c r="I1744" s="8"/>
      <c r="K1744" s="8"/>
      <c r="L1744" s="8"/>
      <c r="M1744" s="8"/>
      <c r="N1744" s="8"/>
      <c r="O1744" s="8"/>
      <c r="P1744" s="8"/>
      <c r="Q1744" s="8"/>
    </row>
    <row r="1745" spans="9:17" s="1" customFormat="1" x14ac:dyDescent="0.25">
      <c r="I1745" s="8"/>
      <c r="K1745" s="8"/>
      <c r="L1745" s="8"/>
      <c r="M1745" s="8"/>
      <c r="N1745" s="8"/>
      <c r="O1745" s="8"/>
      <c r="P1745" s="8"/>
      <c r="Q1745" s="8"/>
    </row>
    <row r="1746" spans="9:17" s="1" customFormat="1" x14ac:dyDescent="0.25">
      <c r="I1746" s="8"/>
      <c r="K1746" s="8"/>
      <c r="L1746" s="8"/>
      <c r="M1746" s="8"/>
      <c r="N1746" s="8"/>
      <c r="O1746" s="8"/>
      <c r="P1746" s="8"/>
      <c r="Q1746" s="8"/>
    </row>
    <row r="1747" spans="9:17" s="1" customFormat="1" x14ac:dyDescent="0.25">
      <c r="I1747" s="8"/>
      <c r="K1747" s="8"/>
      <c r="L1747" s="8"/>
      <c r="M1747" s="8"/>
      <c r="N1747" s="8"/>
      <c r="O1747" s="8"/>
      <c r="P1747" s="8"/>
      <c r="Q1747" s="8"/>
    </row>
    <row r="1748" spans="9:17" s="1" customFormat="1" x14ac:dyDescent="0.25">
      <c r="I1748" s="8"/>
      <c r="K1748" s="8"/>
      <c r="L1748" s="8"/>
      <c r="M1748" s="8"/>
      <c r="N1748" s="8"/>
      <c r="O1748" s="8"/>
      <c r="P1748" s="8"/>
      <c r="Q1748" s="8"/>
    </row>
    <row r="1749" spans="9:17" s="1" customFormat="1" x14ac:dyDescent="0.25">
      <c r="I1749" s="8"/>
      <c r="K1749" s="8"/>
      <c r="L1749" s="8"/>
      <c r="M1749" s="8"/>
      <c r="N1749" s="8"/>
      <c r="O1749" s="8"/>
      <c r="P1749" s="8"/>
      <c r="Q1749" s="8"/>
    </row>
    <row r="1750" spans="9:17" s="1" customFormat="1" x14ac:dyDescent="0.25">
      <c r="I1750" s="8"/>
      <c r="K1750" s="8"/>
      <c r="L1750" s="8"/>
      <c r="M1750" s="8"/>
      <c r="N1750" s="8"/>
      <c r="O1750" s="8"/>
      <c r="P1750" s="8"/>
      <c r="Q1750" s="8"/>
    </row>
    <row r="1751" spans="9:17" s="1" customFormat="1" x14ac:dyDescent="0.25">
      <c r="I1751" s="8"/>
      <c r="K1751" s="8"/>
      <c r="L1751" s="8"/>
      <c r="M1751" s="8"/>
      <c r="N1751" s="8"/>
      <c r="O1751" s="8"/>
      <c r="P1751" s="8"/>
      <c r="Q1751" s="8"/>
    </row>
    <row r="1752" spans="9:17" s="1" customFormat="1" x14ac:dyDescent="0.25">
      <c r="I1752" s="8"/>
      <c r="K1752" s="8"/>
      <c r="L1752" s="8"/>
      <c r="M1752" s="8"/>
      <c r="N1752" s="8"/>
      <c r="O1752" s="8"/>
      <c r="P1752" s="8"/>
      <c r="Q1752" s="8"/>
    </row>
    <row r="1753" spans="9:17" s="1" customFormat="1" x14ac:dyDescent="0.25">
      <c r="I1753" s="8"/>
      <c r="K1753" s="8"/>
      <c r="L1753" s="8"/>
      <c r="M1753" s="8"/>
      <c r="N1753" s="8"/>
      <c r="O1753" s="8"/>
      <c r="P1753" s="8"/>
      <c r="Q1753" s="8"/>
    </row>
    <row r="1754" spans="9:17" s="1" customFormat="1" x14ac:dyDescent="0.25">
      <c r="I1754" s="8"/>
      <c r="K1754" s="8"/>
      <c r="L1754" s="8"/>
      <c r="M1754" s="8"/>
      <c r="N1754" s="8"/>
      <c r="O1754" s="8"/>
      <c r="P1754" s="8"/>
      <c r="Q1754" s="8"/>
    </row>
    <row r="1755" spans="9:17" s="1" customFormat="1" x14ac:dyDescent="0.25">
      <c r="I1755" s="8"/>
      <c r="K1755" s="8"/>
      <c r="L1755" s="8"/>
      <c r="M1755" s="8"/>
      <c r="N1755" s="8"/>
      <c r="O1755" s="8"/>
      <c r="P1755" s="8"/>
      <c r="Q1755" s="8"/>
    </row>
    <row r="1756" spans="9:17" s="1" customFormat="1" x14ac:dyDescent="0.25">
      <c r="I1756" s="8"/>
      <c r="K1756" s="8"/>
      <c r="L1756" s="8"/>
      <c r="M1756" s="8"/>
      <c r="N1756" s="8"/>
      <c r="O1756" s="8"/>
      <c r="P1756" s="8"/>
      <c r="Q1756" s="8"/>
    </row>
    <row r="1757" spans="9:17" s="1" customFormat="1" x14ac:dyDescent="0.25">
      <c r="I1757" s="8"/>
      <c r="K1757" s="8"/>
      <c r="L1757" s="8"/>
      <c r="M1757" s="8"/>
      <c r="N1757" s="8"/>
      <c r="O1757" s="8"/>
      <c r="P1757" s="8"/>
      <c r="Q1757" s="8"/>
    </row>
    <row r="1758" spans="9:17" s="1" customFormat="1" x14ac:dyDescent="0.25">
      <c r="I1758" s="8"/>
      <c r="K1758" s="8"/>
      <c r="L1758" s="8"/>
      <c r="M1758" s="8"/>
      <c r="N1758" s="8"/>
      <c r="O1758" s="8"/>
      <c r="P1758" s="8"/>
      <c r="Q1758" s="8"/>
    </row>
    <row r="1759" spans="9:17" s="1" customFormat="1" x14ac:dyDescent="0.25">
      <c r="I1759" s="8"/>
      <c r="K1759" s="8"/>
      <c r="L1759" s="8"/>
      <c r="M1759" s="8"/>
      <c r="N1759" s="8"/>
      <c r="O1759" s="8"/>
      <c r="P1759" s="8"/>
      <c r="Q1759" s="8"/>
    </row>
    <row r="1760" spans="9:17" s="1" customFormat="1" x14ac:dyDescent="0.25">
      <c r="I1760" s="8"/>
      <c r="K1760" s="8"/>
      <c r="L1760" s="8"/>
      <c r="M1760" s="8"/>
      <c r="N1760" s="8"/>
      <c r="O1760" s="8"/>
      <c r="P1760" s="8"/>
      <c r="Q1760" s="8"/>
    </row>
    <row r="1761" spans="9:17" s="1" customFormat="1" x14ac:dyDescent="0.25">
      <c r="I1761" s="8"/>
      <c r="K1761" s="8"/>
      <c r="L1761" s="8"/>
      <c r="M1761" s="8"/>
      <c r="N1761" s="8"/>
      <c r="O1761" s="8"/>
      <c r="P1761" s="8"/>
      <c r="Q1761" s="8"/>
    </row>
    <row r="1762" spans="9:17" s="1" customFormat="1" x14ac:dyDescent="0.25">
      <c r="I1762" s="8"/>
      <c r="K1762" s="8"/>
      <c r="L1762" s="8"/>
      <c r="M1762" s="8"/>
      <c r="N1762" s="8"/>
      <c r="O1762" s="8"/>
      <c r="P1762" s="8"/>
      <c r="Q1762" s="8"/>
    </row>
    <row r="1763" spans="9:17" s="1" customFormat="1" x14ac:dyDescent="0.25">
      <c r="I1763" s="8"/>
      <c r="K1763" s="8"/>
      <c r="L1763" s="8"/>
      <c r="M1763" s="8"/>
      <c r="N1763" s="8"/>
      <c r="O1763" s="8"/>
      <c r="P1763" s="8"/>
      <c r="Q1763" s="8"/>
    </row>
    <row r="1764" spans="9:17" s="1" customFormat="1" x14ac:dyDescent="0.25">
      <c r="I1764" s="8"/>
      <c r="K1764" s="8"/>
      <c r="L1764" s="8"/>
      <c r="M1764" s="8"/>
      <c r="N1764" s="8"/>
      <c r="O1764" s="8"/>
      <c r="P1764" s="8"/>
      <c r="Q1764" s="8"/>
    </row>
    <row r="1765" spans="9:17" s="1" customFormat="1" x14ac:dyDescent="0.25">
      <c r="I1765" s="8"/>
      <c r="K1765" s="8"/>
      <c r="L1765" s="8"/>
      <c r="M1765" s="8"/>
      <c r="N1765" s="8"/>
      <c r="O1765" s="8"/>
      <c r="P1765" s="8"/>
      <c r="Q1765" s="8"/>
    </row>
    <row r="1766" spans="9:17" s="1" customFormat="1" x14ac:dyDescent="0.25">
      <c r="I1766" s="8"/>
      <c r="K1766" s="8"/>
      <c r="L1766" s="8"/>
      <c r="M1766" s="8"/>
      <c r="N1766" s="8"/>
      <c r="O1766" s="8"/>
      <c r="P1766" s="8"/>
      <c r="Q1766" s="8"/>
    </row>
    <row r="1767" spans="9:17" s="1" customFormat="1" x14ac:dyDescent="0.25">
      <c r="I1767" s="8"/>
      <c r="K1767" s="8"/>
      <c r="L1767" s="8"/>
      <c r="M1767" s="8"/>
      <c r="N1767" s="8"/>
      <c r="O1767" s="8"/>
      <c r="P1767" s="8"/>
      <c r="Q1767" s="8"/>
    </row>
    <row r="1768" spans="9:17" s="1" customFormat="1" x14ac:dyDescent="0.25">
      <c r="I1768" s="8"/>
      <c r="K1768" s="8"/>
      <c r="L1768" s="8"/>
      <c r="M1768" s="8"/>
      <c r="N1768" s="8"/>
      <c r="O1768" s="8"/>
      <c r="P1768" s="8"/>
      <c r="Q1768" s="8"/>
    </row>
    <row r="1769" spans="9:17" s="1" customFormat="1" x14ac:dyDescent="0.25">
      <c r="I1769" s="8"/>
      <c r="K1769" s="8"/>
      <c r="L1769" s="8"/>
      <c r="M1769" s="8"/>
      <c r="N1769" s="8"/>
      <c r="O1769" s="8"/>
      <c r="P1769" s="8"/>
      <c r="Q1769" s="8"/>
    </row>
    <row r="1770" spans="9:17" s="1" customFormat="1" x14ac:dyDescent="0.25">
      <c r="I1770" s="8"/>
      <c r="K1770" s="8"/>
      <c r="L1770" s="8"/>
      <c r="M1770" s="8"/>
      <c r="N1770" s="8"/>
      <c r="O1770" s="8"/>
      <c r="P1770" s="8"/>
      <c r="Q1770" s="8"/>
    </row>
    <row r="1771" spans="9:17" s="1" customFormat="1" x14ac:dyDescent="0.25">
      <c r="I1771" s="8"/>
      <c r="K1771" s="8"/>
      <c r="L1771" s="8"/>
      <c r="M1771" s="8"/>
      <c r="N1771" s="8"/>
      <c r="O1771" s="8"/>
      <c r="P1771" s="8"/>
      <c r="Q1771" s="8"/>
    </row>
    <row r="1772" spans="9:17" s="1" customFormat="1" x14ac:dyDescent="0.25">
      <c r="I1772" s="8"/>
      <c r="K1772" s="8"/>
      <c r="L1772" s="8"/>
      <c r="M1772" s="8"/>
      <c r="N1772" s="8"/>
      <c r="O1772" s="8"/>
      <c r="P1772" s="8"/>
      <c r="Q1772" s="8"/>
    </row>
    <row r="1773" spans="9:17" s="1" customFormat="1" x14ac:dyDescent="0.25">
      <c r="I1773" s="8"/>
      <c r="K1773" s="8"/>
      <c r="L1773" s="8"/>
      <c r="M1773" s="8"/>
      <c r="N1773" s="8"/>
      <c r="O1773" s="8"/>
      <c r="P1773" s="8"/>
      <c r="Q1773" s="8"/>
    </row>
    <row r="1774" spans="9:17" s="1" customFormat="1" x14ac:dyDescent="0.25">
      <c r="I1774" s="8"/>
      <c r="K1774" s="8"/>
      <c r="L1774" s="8"/>
      <c r="M1774" s="8"/>
      <c r="N1774" s="8"/>
      <c r="O1774" s="8"/>
      <c r="P1774" s="8"/>
      <c r="Q1774" s="8"/>
    </row>
    <row r="1775" spans="9:17" s="1" customFormat="1" x14ac:dyDescent="0.25">
      <c r="I1775" s="8"/>
      <c r="K1775" s="8"/>
      <c r="L1775" s="8"/>
      <c r="M1775" s="8"/>
      <c r="N1775" s="8"/>
      <c r="O1775" s="8"/>
      <c r="P1775" s="8"/>
      <c r="Q1775" s="8"/>
    </row>
    <row r="1776" spans="9:17" s="1" customFormat="1" x14ac:dyDescent="0.25">
      <c r="I1776" s="8"/>
      <c r="K1776" s="8"/>
      <c r="L1776" s="8"/>
      <c r="M1776" s="8"/>
      <c r="N1776" s="8"/>
      <c r="O1776" s="8"/>
      <c r="P1776" s="8"/>
      <c r="Q1776" s="8"/>
    </row>
    <row r="1777" spans="9:17" s="1" customFormat="1" x14ac:dyDescent="0.25">
      <c r="I1777" s="8"/>
      <c r="K1777" s="8"/>
      <c r="L1777" s="8"/>
      <c r="M1777" s="8"/>
      <c r="N1777" s="8"/>
      <c r="O1777" s="8"/>
      <c r="P1777" s="8"/>
      <c r="Q1777" s="8"/>
    </row>
    <row r="1778" spans="9:17" s="1" customFormat="1" x14ac:dyDescent="0.25">
      <c r="I1778" s="8"/>
      <c r="K1778" s="8"/>
      <c r="L1778" s="8"/>
      <c r="M1778" s="8"/>
      <c r="N1778" s="8"/>
      <c r="O1778" s="8"/>
      <c r="P1778" s="8"/>
      <c r="Q1778" s="8"/>
    </row>
    <row r="1779" spans="9:17" s="1" customFormat="1" x14ac:dyDescent="0.25">
      <c r="I1779" s="8"/>
      <c r="K1779" s="8"/>
      <c r="L1779" s="8"/>
      <c r="M1779" s="8"/>
      <c r="N1779" s="8"/>
      <c r="O1779" s="8"/>
      <c r="P1779" s="8"/>
      <c r="Q1779" s="8"/>
    </row>
    <row r="1780" spans="9:17" s="1" customFormat="1" x14ac:dyDescent="0.25">
      <c r="I1780" s="8"/>
      <c r="K1780" s="8"/>
      <c r="L1780" s="8"/>
      <c r="M1780" s="8"/>
      <c r="N1780" s="8"/>
      <c r="O1780" s="8"/>
      <c r="P1780" s="8"/>
      <c r="Q1780" s="8"/>
    </row>
    <row r="1781" spans="9:17" s="1" customFormat="1" x14ac:dyDescent="0.25">
      <c r="I1781" s="8"/>
      <c r="K1781" s="8"/>
      <c r="L1781" s="8"/>
      <c r="M1781" s="8"/>
      <c r="N1781" s="8"/>
      <c r="O1781" s="8"/>
      <c r="P1781" s="8"/>
      <c r="Q1781" s="8"/>
    </row>
    <row r="1782" spans="9:17" s="1" customFormat="1" x14ac:dyDescent="0.25">
      <c r="I1782" s="8"/>
      <c r="K1782" s="8"/>
      <c r="L1782" s="8"/>
      <c r="M1782" s="8"/>
      <c r="N1782" s="8"/>
      <c r="O1782" s="8"/>
      <c r="P1782" s="8"/>
      <c r="Q1782" s="8"/>
    </row>
    <row r="1783" spans="9:17" s="1" customFormat="1" x14ac:dyDescent="0.25">
      <c r="I1783" s="8"/>
      <c r="K1783" s="8"/>
      <c r="L1783" s="8"/>
      <c r="M1783" s="8"/>
      <c r="N1783" s="8"/>
      <c r="O1783" s="8"/>
      <c r="P1783" s="8"/>
      <c r="Q1783" s="8"/>
    </row>
    <row r="1784" spans="9:17" s="1" customFormat="1" x14ac:dyDescent="0.25">
      <c r="I1784" s="8"/>
      <c r="K1784" s="8"/>
      <c r="L1784" s="8"/>
      <c r="M1784" s="8"/>
      <c r="N1784" s="8"/>
      <c r="O1784" s="8"/>
      <c r="P1784" s="8"/>
      <c r="Q1784" s="8"/>
    </row>
    <row r="1785" spans="9:17" s="1" customFormat="1" x14ac:dyDescent="0.25">
      <c r="I1785" s="8"/>
      <c r="K1785" s="8"/>
      <c r="L1785" s="8"/>
      <c r="M1785" s="8"/>
      <c r="N1785" s="8"/>
      <c r="O1785" s="8"/>
      <c r="P1785" s="8"/>
      <c r="Q1785" s="8"/>
    </row>
    <row r="1786" spans="9:17" s="1" customFormat="1" x14ac:dyDescent="0.25">
      <c r="I1786" s="8"/>
      <c r="K1786" s="8"/>
      <c r="L1786" s="8"/>
      <c r="M1786" s="8"/>
      <c r="N1786" s="8"/>
      <c r="O1786" s="8"/>
      <c r="P1786" s="8"/>
      <c r="Q1786" s="8"/>
    </row>
    <row r="1787" spans="9:17" s="1" customFormat="1" x14ac:dyDescent="0.25">
      <c r="I1787" s="8"/>
      <c r="K1787" s="8"/>
      <c r="L1787" s="8"/>
      <c r="M1787" s="8"/>
      <c r="N1787" s="8"/>
      <c r="O1787" s="8"/>
      <c r="P1787" s="8"/>
      <c r="Q1787" s="8"/>
    </row>
    <row r="1788" spans="9:17" s="1" customFormat="1" x14ac:dyDescent="0.25">
      <c r="I1788" s="8"/>
      <c r="K1788" s="8"/>
      <c r="L1788" s="8"/>
      <c r="M1788" s="8"/>
      <c r="N1788" s="8"/>
      <c r="O1788" s="8"/>
      <c r="P1788" s="8"/>
      <c r="Q1788" s="8"/>
    </row>
    <row r="1789" spans="9:17" s="1" customFormat="1" x14ac:dyDescent="0.25">
      <c r="I1789" s="8"/>
      <c r="K1789" s="8"/>
      <c r="L1789" s="8"/>
      <c r="M1789" s="8"/>
      <c r="N1789" s="8"/>
      <c r="O1789" s="8"/>
      <c r="P1789" s="8"/>
      <c r="Q1789" s="8"/>
    </row>
    <row r="1790" spans="9:17" s="1" customFormat="1" x14ac:dyDescent="0.25">
      <c r="I1790" s="8"/>
      <c r="K1790" s="8"/>
      <c r="L1790" s="8"/>
      <c r="M1790" s="8"/>
      <c r="N1790" s="8"/>
      <c r="O1790" s="8"/>
      <c r="P1790" s="8"/>
      <c r="Q1790" s="8"/>
    </row>
    <row r="1791" spans="9:17" s="1" customFormat="1" x14ac:dyDescent="0.25">
      <c r="I1791" s="8"/>
      <c r="K1791" s="8"/>
      <c r="L1791" s="8"/>
      <c r="M1791" s="8"/>
      <c r="N1791" s="8"/>
      <c r="O1791" s="8"/>
      <c r="P1791" s="8"/>
      <c r="Q1791" s="8"/>
    </row>
    <row r="1792" spans="9:17" s="1" customFormat="1" x14ac:dyDescent="0.25">
      <c r="I1792" s="8"/>
      <c r="K1792" s="8"/>
      <c r="L1792" s="8"/>
      <c r="M1792" s="8"/>
      <c r="N1792" s="8"/>
      <c r="O1792" s="8"/>
      <c r="P1792" s="8"/>
      <c r="Q1792" s="8"/>
    </row>
    <row r="1793" spans="9:17" s="1" customFormat="1" x14ac:dyDescent="0.25">
      <c r="I1793" s="8"/>
      <c r="K1793" s="8"/>
      <c r="L1793" s="8"/>
      <c r="M1793" s="8"/>
      <c r="N1793" s="8"/>
      <c r="O1793" s="8"/>
      <c r="P1793" s="8"/>
      <c r="Q1793" s="8"/>
    </row>
    <row r="1794" spans="9:17" s="1" customFormat="1" x14ac:dyDescent="0.25">
      <c r="I1794" s="8"/>
      <c r="K1794" s="8"/>
      <c r="L1794" s="8"/>
      <c r="M1794" s="8"/>
      <c r="N1794" s="8"/>
      <c r="O1794" s="8"/>
      <c r="P1794" s="8"/>
      <c r="Q1794" s="8"/>
    </row>
    <row r="1795" spans="9:17" s="1" customFormat="1" x14ac:dyDescent="0.25">
      <c r="I1795" s="8"/>
      <c r="K1795" s="8"/>
      <c r="L1795" s="8"/>
      <c r="M1795" s="8"/>
      <c r="N1795" s="8"/>
      <c r="O1795" s="8"/>
      <c r="P1795" s="8"/>
      <c r="Q1795" s="8"/>
    </row>
    <row r="1796" spans="9:17" s="1" customFormat="1" x14ac:dyDescent="0.25">
      <c r="I1796" s="8"/>
      <c r="K1796" s="8"/>
      <c r="L1796" s="8"/>
      <c r="M1796" s="8"/>
      <c r="N1796" s="8"/>
      <c r="O1796" s="8"/>
      <c r="P1796" s="8"/>
      <c r="Q1796" s="8"/>
    </row>
    <row r="1797" spans="9:17" s="1" customFormat="1" x14ac:dyDescent="0.25">
      <c r="I1797" s="8"/>
      <c r="K1797" s="8"/>
      <c r="L1797" s="8"/>
      <c r="M1797" s="8"/>
      <c r="N1797" s="8"/>
      <c r="O1797" s="8"/>
      <c r="P1797" s="8"/>
      <c r="Q1797" s="8"/>
    </row>
    <row r="1798" spans="9:17" s="1" customFormat="1" x14ac:dyDescent="0.25">
      <c r="I1798" s="8"/>
      <c r="K1798" s="8"/>
      <c r="L1798" s="8"/>
      <c r="M1798" s="8"/>
      <c r="N1798" s="8"/>
      <c r="O1798" s="8"/>
      <c r="P1798" s="8"/>
      <c r="Q1798" s="8"/>
    </row>
    <row r="1799" spans="9:17" s="1" customFormat="1" x14ac:dyDescent="0.25">
      <c r="I1799" s="8"/>
      <c r="K1799" s="8"/>
      <c r="L1799" s="8"/>
      <c r="M1799" s="8"/>
      <c r="N1799" s="8"/>
      <c r="O1799" s="8"/>
      <c r="P1799" s="8"/>
      <c r="Q1799" s="8"/>
    </row>
    <row r="1800" spans="9:17" s="1" customFormat="1" x14ac:dyDescent="0.25">
      <c r="I1800" s="8"/>
      <c r="K1800" s="8"/>
      <c r="L1800" s="8"/>
      <c r="M1800" s="8"/>
      <c r="N1800" s="8"/>
      <c r="O1800" s="8"/>
      <c r="P1800" s="8"/>
      <c r="Q1800" s="8"/>
    </row>
    <row r="1801" spans="9:17" s="1" customFormat="1" x14ac:dyDescent="0.25">
      <c r="I1801" s="8"/>
      <c r="K1801" s="8"/>
      <c r="L1801" s="8"/>
      <c r="M1801" s="8"/>
      <c r="N1801" s="8"/>
      <c r="O1801" s="8"/>
      <c r="P1801" s="8"/>
      <c r="Q1801" s="8"/>
    </row>
    <row r="1802" spans="9:17" s="1" customFormat="1" x14ac:dyDescent="0.25">
      <c r="I1802" s="8"/>
      <c r="K1802" s="8"/>
      <c r="L1802" s="8"/>
      <c r="M1802" s="8"/>
      <c r="N1802" s="8"/>
      <c r="O1802" s="8"/>
      <c r="P1802" s="8"/>
      <c r="Q1802" s="8"/>
    </row>
    <row r="1803" spans="9:17" s="1" customFormat="1" x14ac:dyDescent="0.25">
      <c r="I1803" s="8"/>
      <c r="K1803" s="8"/>
      <c r="L1803" s="8"/>
      <c r="M1803" s="8"/>
      <c r="N1803" s="8"/>
      <c r="O1803" s="8"/>
      <c r="P1803" s="8"/>
      <c r="Q1803" s="8"/>
    </row>
    <row r="1804" spans="9:17" s="1" customFormat="1" x14ac:dyDescent="0.25">
      <c r="I1804" s="8"/>
      <c r="K1804" s="8"/>
      <c r="L1804" s="8"/>
      <c r="M1804" s="8"/>
      <c r="N1804" s="8"/>
      <c r="O1804" s="8"/>
      <c r="P1804" s="8"/>
      <c r="Q1804" s="8"/>
    </row>
    <row r="1805" spans="9:17" s="1" customFormat="1" x14ac:dyDescent="0.25">
      <c r="I1805" s="8"/>
      <c r="K1805" s="8"/>
      <c r="L1805" s="8"/>
      <c r="M1805" s="8"/>
      <c r="N1805" s="8"/>
      <c r="O1805" s="8"/>
      <c r="P1805" s="8"/>
      <c r="Q1805" s="8"/>
    </row>
    <row r="1806" spans="9:17" s="1" customFormat="1" x14ac:dyDescent="0.25">
      <c r="I1806" s="8"/>
      <c r="K1806" s="8"/>
      <c r="L1806" s="8"/>
      <c r="M1806" s="8"/>
      <c r="N1806" s="8"/>
      <c r="O1806" s="8"/>
      <c r="P1806" s="8"/>
      <c r="Q1806" s="8"/>
    </row>
    <row r="1807" spans="9:17" s="1" customFormat="1" x14ac:dyDescent="0.25">
      <c r="I1807" s="8"/>
      <c r="K1807" s="8"/>
      <c r="L1807" s="8"/>
      <c r="M1807" s="8"/>
      <c r="N1807" s="8"/>
      <c r="O1807" s="8"/>
      <c r="P1807" s="8"/>
      <c r="Q1807" s="8"/>
    </row>
    <row r="1808" spans="9:17" s="1" customFormat="1" x14ac:dyDescent="0.25">
      <c r="I1808" s="8"/>
      <c r="K1808" s="8"/>
      <c r="L1808" s="8"/>
      <c r="M1808" s="8"/>
      <c r="N1808" s="8"/>
      <c r="O1808" s="8"/>
      <c r="P1808" s="8"/>
      <c r="Q1808" s="8"/>
    </row>
    <row r="1809" spans="9:17" s="1" customFormat="1" x14ac:dyDescent="0.25">
      <c r="I1809" s="8"/>
      <c r="K1809" s="8"/>
      <c r="L1809" s="8"/>
      <c r="M1809" s="8"/>
      <c r="N1809" s="8"/>
      <c r="O1809" s="8"/>
      <c r="P1809" s="8"/>
      <c r="Q1809" s="8"/>
    </row>
    <row r="1810" spans="9:17" s="1" customFormat="1" x14ac:dyDescent="0.25">
      <c r="I1810" s="8"/>
      <c r="K1810" s="8"/>
      <c r="L1810" s="8"/>
      <c r="M1810" s="8"/>
      <c r="N1810" s="8"/>
      <c r="O1810" s="8"/>
      <c r="P1810" s="8"/>
      <c r="Q1810" s="8"/>
    </row>
    <row r="1811" spans="9:17" s="1" customFormat="1" x14ac:dyDescent="0.25">
      <c r="I1811" s="8"/>
      <c r="K1811" s="8"/>
      <c r="L1811" s="8"/>
      <c r="M1811" s="8"/>
      <c r="N1811" s="8"/>
      <c r="O1811" s="8"/>
      <c r="P1811" s="8"/>
      <c r="Q1811" s="8"/>
    </row>
    <row r="1812" spans="9:17" s="1" customFormat="1" x14ac:dyDescent="0.25">
      <c r="I1812" s="8"/>
      <c r="K1812" s="8"/>
      <c r="L1812" s="8"/>
      <c r="M1812" s="8"/>
      <c r="N1812" s="8"/>
      <c r="O1812" s="8"/>
      <c r="P1812" s="8"/>
      <c r="Q1812" s="8"/>
    </row>
    <row r="1813" spans="9:17" s="1" customFormat="1" x14ac:dyDescent="0.25">
      <c r="I1813" s="8"/>
      <c r="K1813" s="8"/>
      <c r="L1813" s="8"/>
      <c r="M1813" s="8"/>
      <c r="N1813" s="8"/>
      <c r="O1813" s="8"/>
      <c r="P1813" s="8"/>
      <c r="Q1813" s="8"/>
    </row>
    <row r="1814" spans="9:17" s="1" customFormat="1" x14ac:dyDescent="0.25">
      <c r="I1814" s="8"/>
      <c r="K1814" s="8"/>
      <c r="L1814" s="8"/>
      <c r="M1814" s="8"/>
      <c r="N1814" s="8"/>
      <c r="O1814" s="8"/>
      <c r="P1814" s="8"/>
      <c r="Q1814" s="8"/>
    </row>
    <row r="1815" spans="9:17" s="1" customFormat="1" x14ac:dyDescent="0.25">
      <c r="I1815" s="8"/>
      <c r="K1815" s="8"/>
      <c r="L1815" s="8"/>
      <c r="M1815" s="8"/>
      <c r="N1815" s="8"/>
      <c r="O1815" s="8"/>
      <c r="P1815" s="8"/>
      <c r="Q1815" s="8"/>
    </row>
    <row r="1816" spans="9:17" s="1" customFormat="1" x14ac:dyDescent="0.25">
      <c r="I1816" s="8"/>
      <c r="K1816" s="8"/>
      <c r="L1816" s="8"/>
      <c r="M1816" s="8"/>
      <c r="N1816" s="8"/>
      <c r="O1816" s="8"/>
      <c r="P1816" s="8"/>
      <c r="Q1816" s="8"/>
    </row>
    <row r="1817" spans="9:17" s="1" customFormat="1" x14ac:dyDescent="0.25">
      <c r="I1817" s="8"/>
      <c r="K1817" s="8"/>
      <c r="L1817" s="8"/>
      <c r="M1817" s="8"/>
      <c r="N1817" s="8"/>
      <c r="O1817" s="8"/>
      <c r="P1817" s="8"/>
      <c r="Q1817" s="8"/>
    </row>
    <row r="1818" spans="9:17" s="1" customFormat="1" x14ac:dyDescent="0.25">
      <c r="I1818" s="8"/>
      <c r="K1818" s="8"/>
      <c r="L1818" s="8"/>
      <c r="M1818" s="8"/>
      <c r="N1818" s="8"/>
      <c r="O1818" s="8"/>
      <c r="P1818" s="8"/>
      <c r="Q1818" s="8"/>
    </row>
    <row r="1819" spans="9:17" s="1" customFormat="1" x14ac:dyDescent="0.25">
      <c r="I1819" s="8"/>
      <c r="K1819" s="8"/>
      <c r="L1819" s="8"/>
      <c r="M1819" s="8"/>
      <c r="N1819" s="8"/>
      <c r="O1819" s="8"/>
      <c r="P1819" s="8"/>
      <c r="Q1819" s="8"/>
    </row>
    <row r="1820" spans="9:17" s="1" customFormat="1" x14ac:dyDescent="0.25">
      <c r="I1820" s="8"/>
      <c r="K1820" s="8"/>
      <c r="L1820" s="8"/>
      <c r="M1820" s="8"/>
      <c r="N1820" s="8"/>
      <c r="O1820" s="8"/>
      <c r="P1820" s="8"/>
      <c r="Q1820" s="8"/>
    </row>
    <row r="1821" spans="9:17" s="1" customFormat="1" x14ac:dyDescent="0.25">
      <c r="I1821" s="8"/>
      <c r="K1821" s="8"/>
      <c r="L1821" s="8"/>
      <c r="M1821" s="8"/>
      <c r="N1821" s="8"/>
      <c r="O1821" s="8"/>
      <c r="P1821" s="8"/>
      <c r="Q1821" s="8"/>
    </row>
    <row r="1822" spans="9:17" s="1" customFormat="1" x14ac:dyDescent="0.25">
      <c r="I1822" s="8"/>
      <c r="K1822" s="8"/>
      <c r="L1822" s="8"/>
      <c r="M1822" s="8"/>
      <c r="N1822" s="8"/>
      <c r="O1822" s="8"/>
      <c r="P1822" s="8"/>
      <c r="Q1822" s="8"/>
    </row>
    <row r="1823" spans="9:17" s="1" customFormat="1" x14ac:dyDescent="0.25">
      <c r="I1823" s="8"/>
      <c r="K1823" s="8"/>
      <c r="L1823" s="8"/>
      <c r="M1823" s="8"/>
      <c r="N1823" s="8"/>
      <c r="O1823" s="8"/>
      <c r="P1823" s="8"/>
      <c r="Q1823" s="8"/>
    </row>
    <row r="1824" spans="9:17" s="1" customFormat="1" x14ac:dyDescent="0.25">
      <c r="I1824" s="8"/>
      <c r="K1824" s="8"/>
      <c r="L1824" s="8"/>
      <c r="M1824" s="8"/>
      <c r="N1824" s="8"/>
      <c r="O1824" s="8"/>
      <c r="P1824" s="8"/>
      <c r="Q1824" s="8"/>
    </row>
    <row r="1825" spans="9:17" s="1" customFormat="1" x14ac:dyDescent="0.25">
      <c r="I1825" s="8"/>
      <c r="K1825" s="8"/>
      <c r="L1825" s="8"/>
      <c r="M1825" s="8"/>
      <c r="N1825" s="8"/>
      <c r="O1825" s="8"/>
      <c r="P1825" s="8"/>
      <c r="Q1825" s="8"/>
    </row>
    <row r="1826" spans="9:17" s="1" customFormat="1" x14ac:dyDescent="0.25">
      <c r="I1826" s="8"/>
      <c r="K1826" s="8"/>
      <c r="L1826" s="8"/>
      <c r="M1826" s="8"/>
      <c r="N1826" s="8"/>
      <c r="O1826" s="8"/>
      <c r="P1826" s="8"/>
      <c r="Q1826" s="8"/>
    </row>
    <row r="1827" spans="9:17" s="1" customFormat="1" x14ac:dyDescent="0.25">
      <c r="I1827" s="8"/>
      <c r="K1827" s="8"/>
      <c r="L1827" s="8"/>
      <c r="M1827" s="8"/>
      <c r="N1827" s="8"/>
      <c r="O1827" s="8"/>
      <c r="P1827" s="8"/>
      <c r="Q1827" s="8"/>
    </row>
    <row r="1828" spans="9:17" s="1" customFormat="1" x14ac:dyDescent="0.25">
      <c r="I1828" s="8"/>
      <c r="K1828" s="8"/>
      <c r="L1828" s="8"/>
      <c r="M1828" s="8"/>
      <c r="N1828" s="8"/>
      <c r="O1828" s="8"/>
      <c r="P1828" s="8"/>
      <c r="Q1828" s="8"/>
    </row>
    <row r="1829" spans="9:17" s="1" customFormat="1" x14ac:dyDescent="0.25">
      <c r="I1829" s="8"/>
      <c r="K1829" s="8"/>
      <c r="L1829" s="8"/>
      <c r="M1829" s="8"/>
      <c r="N1829" s="8"/>
      <c r="O1829" s="8"/>
      <c r="P1829" s="8"/>
      <c r="Q1829" s="8"/>
    </row>
    <row r="1830" spans="9:17" s="1" customFormat="1" x14ac:dyDescent="0.25">
      <c r="I1830" s="8"/>
      <c r="K1830" s="8"/>
      <c r="L1830" s="8"/>
      <c r="M1830" s="8"/>
      <c r="N1830" s="8"/>
      <c r="O1830" s="8"/>
      <c r="P1830" s="8"/>
      <c r="Q1830" s="8"/>
    </row>
    <row r="1831" spans="9:17" s="1" customFormat="1" x14ac:dyDescent="0.25">
      <c r="I1831" s="8"/>
      <c r="K1831" s="8"/>
      <c r="L1831" s="8"/>
      <c r="M1831" s="8"/>
      <c r="N1831" s="8"/>
      <c r="O1831" s="8"/>
      <c r="P1831" s="8"/>
      <c r="Q1831" s="8"/>
    </row>
    <row r="1832" spans="9:17" s="1" customFormat="1" x14ac:dyDescent="0.25">
      <c r="I1832" s="8"/>
      <c r="K1832" s="8"/>
      <c r="L1832" s="8"/>
      <c r="M1832" s="8"/>
      <c r="N1832" s="8"/>
      <c r="O1832" s="8"/>
      <c r="P1832" s="8"/>
      <c r="Q1832" s="8"/>
    </row>
    <row r="1833" spans="9:17" s="1" customFormat="1" x14ac:dyDescent="0.25">
      <c r="I1833" s="8"/>
      <c r="K1833" s="8"/>
      <c r="L1833" s="8"/>
      <c r="M1833" s="8"/>
      <c r="N1833" s="8"/>
      <c r="O1833" s="8"/>
      <c r="P1833" s="8"/>
      <c r="Q1833" s="8"/>
    </row>
    <row r="1834" spans="9:17" s="1" customFormat="1" x14ac:dyDescent="0.25">
      <c r="I1834" s="8"/>
      <c r="K1834" s="8"/>
      <c r="L1834" s="8"/>
      <c r="M1834" s="8"/>
      <c r="N1834" s="8"/>
      <c r="O1834" s="8"/>
      <c r="P1834" s="8"/>
      <c r="Q1834" s="8"/>
    </row>
    <row r="1835" spans="9:17" s="1" customFormat="1" x14ac:dyDescent="0.25">
      <c r="I1835" s="8"/>
      <c r="K1835" s="8"/>
      <c r="L1835" s="8"/>
      <c r="M1835" s="8"/>
      <c r="N1835" s="8"/>
      <c r="O1835" s="8"/>
      <c r="P1835" s="8"/>
      <c r="Q1835" s="8"/>
    </row>
    <row r="1836" spans="9:17" s="1" customFormat="1" x14ac:dyDescent="0.25">
      <c r="I1836" s="8"/>
      <c r="K1836" s="8"/>
      <c r="L1836" s="8"/>
      <c r="M1836" s="8"/>
      <c r="N1836" s="8"/>
      <c r="O1836" s="8"/>
      <c r="P1836" s="8"/>
      <c r="Q1836" s="8"/>
    </row>
    <row r="1837" spans="9:17" s="1" customFormat="1" x14ac:dyDescent="0.25">
      <c r="I1837" s="8"/>
      <c r="K1837" s="8"/>
      <c r="L1837" s="8"/>
      <c r="M1837" s="8"/>
      <c r="N1837" s="8"/>
      <c r="O1837" s="8"/>
      <c r="P1837" s="8"/>
      <c r="Q1837" s="8"/>
    </row>
    <row r="1838" spans="9:17" s="1" customFormat="1" x14ac:dyDescent="0.25">
      <c r="I1838" s="8"/>
      <c r="K1838" s="8"/>
      <c r="L1838" s="8"/>
      <c r="M1838" s="8"/>
      <c r="N1838" s="8"/>
      <c r="O1838" s="8"/>
      <c r="P1838" s="8"/>
      <c r="Q1838" s="8"/>
    </row>
    <row r="1839" spans="9:17" s="1" customFormat="1" x14ac:dyDescent="0.25">
      <c r="I1839" s="8"/>
      <c r="K1839" s="8"/>
      <c r="L1839" s="8"/>
      <c r="M1839" s="8"/>
      <c r="N1839" s="8"/>
      <c r="O1839" s="8"/>
      <c r="P1839" s="8"/>
      <c r="Q1839" s="8"/>
    </row>
    <row r="1840" spans="9:17" s="1" customFormat="1" x14ac:dyDescent="0.25">
      <c r="I1840" s="8"/>
      <c r="K1840" s="8"/>
      <c r="L1840" s="8"/>
      <c r="M1840" s="8"/>
      <c r="N1840" s="8"/>
      <c r="O1840" s="8"/>
      <c r="P1840" s="8"/>
      <c r="Q1840" s="8"/>
    </row>
    <row r="1841" spans="9:17" s="1" customFormat="1" x14ac:dyDescent="0.25">
      <c r="I1841" s="8"/>
      <c r="K1841" s="8"/>
      <c r="L1841" s="8"/>
      <c r="M1841" s="8"/>
      <c r="N1841" s="8"/>
      <c r="O1841" s="8"/>
      <c r="P1841" s="8"/>
      <c r="Q1841" s="8"/>
    </row>
    <row r="1842" spans="9:17" s="1" customFormat="1" x14ac:dyDescent="0.25">
      <c r="I1842" s="8"/>
      <c r="K1842" s="8"/>
      <c r="L1842" s="8"/>
      <c r="M1842" s="8"/>
      <c r="N1842" s="8"/>
      <c r="O1842" s="8"/>
      <c r="P1842" s="8"/>
      <c r="Q1842" s="8"/>
    </row>
    <row r="1843" spans="9:17" s="1" customFormat="1" x14ac:dyDescent="0.25">
      <c r="I1843" s="8"/>
      <c r="K1843" s="8"/>
      <c r="L1843" s="8"/>
      <c r="M1843" s="8"/>
      <c r="N1843" s="8"/>
      <c r="O1843" s="8"/>
      <c r="P1843" s="8"/>
      <c r="Q1843" s="8"/>
    </row>
    <row r="1844" spans="9:17" s="1" customFormat="1" x14ac:dyDescent="0.25">
      <c r="I1844" s="8"/>
      <c r="K1844" s="8"/>
      <c r="L1844" s="8"/>
      <c r="M1844" s="8"/>
      <c r="N1844" s="8"/>
      <c r="O1844" s="8"/>
      <c r="P1844" s="8"/>
      <c r="Q1844" s="8"/>
    </row>
    <row r="1845" spans="9:17" s="1" customFormat="1" x14ac:dyDescent="0.25">
      <c r="I1845" s="8"/>
      <c r="K1845" s="8"/>
      <c r="L1845" s="8"/>
      <c r="M1845" s="8"/>
      <c r="N1845" s="8"/>
      <c r="O1845" s="8"/>
      <c r="P1845" s="8"/>
      <c r="Q1845" s="8"/>
    </row>
    <row r="1846" spans="9:17" s="1" customFormat="1" x14ac:dyDescent="0.25">
      <c r="I1846" s="8"/>
      <c r="K1846" s="8"/>
      <c r="L1846" s="8"/>
      <c r="M1846" s="8"/>
      <c r="N1846" s="8"/>
      <c r="O1846" s="8"/>
      <c r="P1846" s="8"/>
      <c r="Q1846" s="8"/>
    </row>
    <row r="1847" spans="9:17" s="1" customFormat="1" x14ac:dyDescent="0.25">
      <c r="I1847" s="8"/>
      <c r="K1847" s="8"/>
      <c r="L1847" s="8"/>
      <c r="M1847" s="8"/>
      <c r="N1847" s="8"/>
      <c r="O1847" s="8"/>
      <c r="P1847" s="8"/>
      <c r="Q1847" s="8"/>
    </row>
    <row r="1848" spans="9:17" s="1" customFormat="1" x14ac:dyDescent="0.25">
      <c r="I1848" s="8"/>
      <c r="K1848" s="8"/>
      <c r="L1848" s="8"/>
      <c r="M1848" s="8"/>
      <c r="N1848" s="8"/>
      <c r="O1848" s="8"/>
      <c r="P1848" s="8"/>
      <c r="Q1848" s="8"/>
    </row>
    <row r="1849" spans="9:17" s="1" customFormat="1" x14ac:dyDescent="0.25">
      <c r="I1849" s="8"/>
      <c r="K1849" s="8"/>
      <c r="L1849" s="8"/>
      <c r="M1849" s="8"/>
      <c r="N1849" s="8"/>
      <c r="O1849" s="8"/>
      <c r="P1849" s="8"/>
      <c r="Q1849" s="8"/>
    </row>
    <row r="1850" spans="9:17" s="1" customFormat="1" x14ac:dyDescent="0.25">
      <c r="I1850" s="8"/>
      <c r="K1850" s="8"/>
      <c r="L1850" s="8"/>
      <c r="M1850" s="8"/>
      <c r="N1850" s="8"/>
      <c r="O1850" s="8"/>
      <c r="P1850" s="8"/>
      <c r="Q1850" s="8"/>
    </row>
    <row r="1851" spans="9:17" s="1" customFormat="1" x14ac:dyDescent="0.25">
      <c r="I1851" s="8"/>
      <c r="K1851" s="8"/>
      <c r="L1851" s="8"/>
      <c r="M1851" s="8"/>
      <c r="N1851" s="8"/>
      <c r="O1851" s="8"/>
      <c r="P1851" s="8"/>
      <c r="Q1851" s="8"/>
    </row>
    <row r="1852" spans="9:17" s="1" customFormat="1" x14ac:dyDescent="0.25">
      <c r="I1852" s="8"/>
      <c r="K1852" s="8"/>
      <c r="L1852" s="8"/>
      <c r="M1852" s="8"/>
      <c r="N1852" s="8"/>
      <c r="O1852" s="8"/>
      <c r="P1852" s="8"/>
      <c r="Q1852" s="8"/>
    </row>
    <row r="1853" spans="9:17" s="1" customFormat="1" x14ac:dyDescent="0.25">
      <c r="I1853" s="8"/>
      <c r="K1853" s="8"/>
      <c r="L1853" s="8"/>
      <c r="M1853" s="8"/>
      <c r="N1853" s="8"/>
      <c r="O1853" s="8"/>
      <c r="P1853" s="8"/>
      <c r="Q1853" s="8"/>
    </row>
    <row r="1854" spans="9:17" s="1" customFormat="1" x14ac:dyDescent="0.25">
      <c r="I1854" s="8"/>
      <c r="K1854" s="8"/>
      <c r="L1854" s="8"/>
      <c r="M1854" s="8"/>
      <c r="N1854" s="8"/>
      <c r="O1854" s="8"/>
      <c r="P1854" s="8"/>
      <c r="Q1854" s="8"/>
    </row>
    <row r="1855" spans="9:17" s="1" customFormat="1" x14ac:dyDescent="0.25">
      <c r="I1855" s="8"/>
      <c r="K1855" s="8"/>
      <c r="L1855" s="8"/>
      <c r="M1855" s="8"/>
      <c r="N1855" s="8"/>
      <c r="O1855" s="8"/>
      <c r="P1855" s="8"/>
      <c r="Q1855" s="8"/>
    </row>
    <row r="1856" spans="9:17" s="1" customFormat="1" x14ac:dyDescent="0.25">
      <c r="I1856" s="8"/>
      <c r="K1856" s="8"/>
      <c r="L1856" s="8"/>
      <c r="M1856" s="8"/>
      <c r="N1856" s="8"/>
      <c r="O1856" s="8"/>
      <c r="P1856" s="8"/>
      <c r="Q1856" s="8"/>
    </row>
    <row r="1857" spans="9:17" s="1" customFormat="1" x14ac:dyDescent="0.25">
      <c r="I1857" s="8"/>
      <c r="K1857" s="8"/>
      <c r="L1857" s="8"/>
      <c r="M1857" s="8"/>
      <c r="N1857" s="8"/>
      <c r="O1857" s="8"/>
      <c r="P1857" s="8"/>
      <c r="Q1857" s="8"/>
    </row>
    <row r="1858" spans="9:17" s="1" customFormat="1" x14ac:dyDescent="0.25">
      <c r="I1858" s="8"/>
      <c r="K1858" s="8"/>
      <c r="L1858" s="8"/>
      <c r="M1858" s="8"/>
      <c r="N1858" s="8"/>
      <c r="O1858" s="8"/>
      <c r="P1858" s="8"/>
      <c r="Q1858" s="8"/>
    </row>
    <row r="1859" spans="9:17" s="1" customFormat="1" x14ac:dyDescent="0.25">
      <c r="I1859" s="8"/>
      <c r="K1859" s="8"/>
      <c r="L1859" s="8"/>
      <c r="M1859" s="8"/>
      <c r="N1859" s="8"/>
      <c r="O1859" s="8"/>
      <c r="P1859" s="8"/>
      <c r="Q1859" s="8"/>
    </row>
    <row r="1860" spans="9:17" s="1" customFormat="1" x14ac:dyDescent="0.25">
      <c r="I1860" s="8"/>
      <c r="K1860" s="8"/>
      <c r="L1860" s="8"/>
      <c r="M1860" s="8"/>
      <c r="N1860" s="8"/>
      <c r="O1860" s="8"/>
      <c r="P1860" s="8"/>
      <c r="Q1860" s="8"/>
    </row>
    <row r="1861" spans="9:17" s="1" customFormat="1" x14ac:dyDescent="0.25">
      <c r="I1861" s="8"/>
      <c r="K1861" s="8"/>
      <c r="L1861" s="8"/>
      <c r="M1861" s="8"/>
      <c r="N1861" s="8"/>
      <c r="O1861" s="8"/>
      <c r="P1861" s="8"/>
      <c r="Q1861" s="8"/>
    </row>
    <row r="1862" spans="9:17" s="1" customFormat="1" x14ac:dyDescent="0.25">
      <c r="I1862" s="8"/>
      <c r="K1862" s="8"/>
      <c r="L1862" s="8"/>
      <c r="M1862" s="8"/>
      <c r="N1862" s="8"/>
      <c r="O1862" s="8"/>
      <c r="P1862" s="8"/>
      <c r="Q1862" s="8"/>
    </row>
    <row r="1863" spans="9:17" s="1" customFormat="1" x14ac:dyDescent="0.25">
      <c r="I1863" s="8"/>
      <c r="K1863" s="8"/>
      <c r="L1863" s="8"/>
      <c r="M1863" s="8"/>
      <c r="N1863" s="8"/>
      <c r="O1863" s="8"/>
      <c r="P1863" s="8"/>
      <c r="Q1863" s="8"/>
    </row>
    <row r="1864" spans="9:17" s="1" customFormat="1" x14ac:dyDescent="0.25">
      <c r="I1864" s="8"/>
      <c r="K1864" s="8"/>
      <c r="L1864" s="8"/>
      <c r="M1864" s="8"/>
      <c r="N1864" s="8"/>
      <c r="O1864" s="8"/>
      <c r="P1864" s="8"/>
      <c r="Q1864" s="8"/>
    </row>
    <row r="1865" spans="9:17" s="1" customFormat="1" x14ac:dyDescent="0.25">
      <c r="I1865" s="8"/>
      <c r="K1865" s="8"/>
      <c r="L1865" s="8"/>
      <c r="M1865" s="8"/>
      <c r="N1865" s="8"/>
      <c r="O1865" s="8"/>
      <c r="P1865" s="8"/>
      <c r="Q1865" s="8"/>
    </row>
    <row r="1866" spans="9:17" s="1" customFormat="1" x14ac:dyDescent="0.25">
      <c r="I1866" s="8"/>
      <c r="K1866" s="8"/>
      <c r="L1866" s="8"/>
      <c r="M1866" s="8"/>
      <c r="N1866" s="8"/>
      <c r="O1866" s="8"/>
      <c r="P1866" s="8"/>
      <c r="Q1866" s="8"/>
    </row>
    <row r="1867" spans="9:17" s="1" customFormat="1" x14ac:dyDescent="0.25">
      <c r="I1867" s="8"/>
      <c r="K1867" s="8"/>
      <c r="L1867" s="8"/>
      <c r="M1867" s="8"/>
      <c r="N1867" s="8"/>
      <c r="O1867" s="8"/>
      <c r="P1867" s="8"/>
      <c r="Q1867" s="8"/>
    </row>
    <row r="1868" spans="9:17" s="1" customFormat="1" x14ac:dyDescent="0.25">
      <c r="I1868" s="8"/>
      <c r="K1868" s="8"/>
      <c r="L1868" s="8"/>
      <c r="M1868" s="8"/>
      <c r="N1868" s="8"/>
      <c r="O1868" s="8"/>
      <c r="P1868" s="8"/>
      <c r="Q1868" s="8"/>
    </row>
    <row r="1869" spans="9:17" s="1" customFormat="1" x14ac:dyDescent="0.25">
      <c r="I1869" s="8"/>
      <c r="K1869" s="8"/>
      <c r="L1869" s="8"/>
      <c r="M1869" s="8"/>
      <c r="N1869" s="8"/>
      <c r="O1869" s="8"/>
      <c r="P1869" s="8"/>
      <c r="Q1869" s="8"/>
    </row>
    <row r="1870" spans="9:17" s="1" customFormat="1" x14ac:dyDescent="0.25">
      <c r="I1870" s="8"/>
      <c r="K1870" s="8"/>
      <c r="L1870" s="8"/>
      <c r="M1870" s="8"/>
      <c r="N1870" s="8"/>
      <c r="O1870" s="8"/>
      <c r="P1870" s="8"/>
      <c r="Q1870" s="8"/>
    </row>
    <row r="1871" spans="9:17" s="1" customFormat="1" x14ac:dyDescent="0.25">
      <c r="I1871" s="8"/>
      <c r="K1871" s="8"/>
      <c r="L1871" s="8"/>
      <c r="M1871" s="8"/>
      <c r="N1871" s="8"/>
      <c r="O1871" s="8"/>
      <c r="P1871" s="8"/>
      <c r="Q1871" s="8"/>
    </row>
    <row r="1872" spans="9:17" s="1" customFormat="1" x14ac:dyDescent="0.25">
      <c r="I1872" s="8"/>
      <c r="K1872" s="8"/>
      <c r="L1872" s="8"/>
      <c r="M1872" s="8"/>
      <c r="N1872" s="8"/>
      <c r="O1872" s="8"/>
      <c r="P1872" s="8"/>
      <c r="Q1872" s="8"/>
    </row>
    <row r="1873" spans="9:17" s="1" customFormat="1" x14ac:dyDescent="0.25">
      <c r="I1873" s="8"/>
      <c r="K1873" s="8"/>
      <c r="L1873" s="8"/>
      <c r="M1873" s="8"/>
      <c r="N1873" s="8"/>
      <c r="O1873" s="8"/>
      <c r="P1873" s="8"/>
      <c r="Q1873" s="8"/>
    </row>
    <row r="1874" spans="9:17" s="1" customFormat="1" x14ac:dyDescent="0.25">
      <c r="I1874" s="8"/>
      <c r="K1874" s="8"/>
      <c r="L1874" s="8"/>
      <c r="M1874" s="8"/>
      <c r="N1874" s="8"/>
      <c r="O1874" s="8"/>
      <c r="P1874" s="8"/>
      <c r="Q1874" s="8"/>
    </row>
    <row r="1875" spans="9:17" s="1" customFormat="1" x14ac:dyDescent="0.25">
      <c r="I1875" s="8"/>
      <c r="K1875" s="8"/>
      <c r="L1875" s="8"/>
      <c r="M1875" s="8"/>
      <c r="N1875" s="8"/>
      <c r="O1875" s="8"/>
      <c r="P1875" s="8"/>
      <c r="Q1875" s="8"/>
    </row>
    <row r="1876" spans="9:17" s="1" customFormat="1" x14ac:dyDescent="0.25">
      <c r="I1876" s="8"/>
      <c r="K1876" s="8"/>
      <c r="L1876" s="8"/>
      <c r="M1876" s="8"/>
      <c r="N1876" s="8"/>
      <c r="O1876" s="8"/>
      <c r="P1876" s="8"/>
      <c r="Q1876" s="8"/>
    </row>
    <row r="1877" spans="9:17" s="1" customFormat="1" x14ac:dyDescent="0.25">
      <c r="I1877" s="8"/>
      <c r="K1877" s="8"/>
      <c r="L1877" s="8"/>
      <c r="M1877" s="8"/>
      <c r="N1877" s="8"/>
      <c r="O1877" s="8"/>
      <c r="P1877" s="8"/>
      <c r="Q1877" s="8"/>
    </row>
    <row r="1878" spans="9:17" s="1" customFormat="1" x14ac:dyDescent="0.25">
      <c r="I1878" s="8"/>
      <c r="K1878" s="8"/>
      <c r="L1878" s="8"/>
      <c r="M1878" s="8"/>
      <c r="N1878" s="8"/>
      <c r="O1878" s="8"/>
      <c r="P1878" s="8"/>
      <c r="Q1878" s="8"/>
    </row>
    <row r="1879" spans="9:17" s="1" customFormat="1" x14ac:dyDescent="0.25">
      <c r="I1879" s="8"/>
      <c r="K1879" s="8"/>
      <c r="L1879" s="8"/>
      <c r="M1879" s="8"/>
      <c r="N1879" s="8"/>
      <c r="O1879" s="8"/>
      <c r="P1879" s="8"/>
      <c r="Q1879" s="8"/>
    </row>
    <row r="1880" spans="9:17" s="1" customFormat="1" x14ac:dyDescent="0.25">
      <c r="I1880" s="8"/>
      <c r="K1880" s="8"/>
      <c r="L1880" s="8"/>
      <c r="M1880" s="8"/>
      <c r="N1880" s="8"/>
      <c r="O1880" s="8"/>
      <c r="P1880" s="8"/>
      <c r="Q1880" s="8"/>
    </row>
    <row r="1881" spans="9:17" s="1" customFormat="1" x14ac:dyDescent="0.25">
      <c r="I1881" s="8"/>
      <c r="K1881" s="8"/>
      <c r="L1881" s="8"/>
      <c r="M1881" s="8"/>
      <c r="N1881" s="8"/>
      <c r="O1881" s="8"/>
      <c r="P1881" s="8"/>
      <c r="Q1881" s="8"/>
    </row>
    <row r="1882" spans="9:17" s="1" customFormat="1" x14ac:dyDescent="0.25">
      <c r="I1882" s="8"/>
      <c r="K1882" s="8"/>
      <c r="L1882" s="8"/>
      <c r="M1882" s="8"/>
      <c r="N1882" s="8"/>
      <c r="O1882" s="8"/>
      <c r="P1882" s="8"/>
      <c r="Q1882" s="8"/>
    </row>
    <row r="1883" spans="9:17" s="1" customFormat="1" x14ac:dyDescent="0.25">
      <c r="I1883" s="8"/>
      <c r="K1883" s="8"/>
      <c r="L1883" s="8"/>
      <c r="M1883" s="8"/>
      <c r="N1883" s="8"/>
      <c r="O1883" s="8"/>
      <c r="P1883" s="8"/>
      <c r="Q1883" s="8"/>
    </row>
    <row r="1884" spans="9:17" s="1" customFormat="1" x14ac:dyDescent="0.25">
      <c r="I1884" s="8"/>
      <c r="K1884" s="8"/>
      <c r="L1884" s="8"/>
      <c r="M1884" s="8"/>
      <c r="N1884" s="8"/>
      <c r="O1884" s="8"/>
      <c r="P1884" s="8"/>
      <c r="Q1884" s="8"/>
    </row>
    <row r="1885" spans="9:17" s="1" customFormat="1" x14ac:dyDescent="0.25">
      <c r="I1885" s="8"/>
      <c r="K1885" s="8"/>
      <c r="L1885" s="8"/>
      <c r="M1885" s="8"/>
      <c r="N1885" s="8"/>
      <c r="O1885" s="8"/>
      <c r="P1885" s="8"/>
      <c r="Q1885" s="8"/>
    </row>
    <row r="1886" spans="9:17" s="1" customFormat="1" x14ac:dyDescent="0.25">
      <c r="I1886" s="8"/>
      <c r="K1886" s="8"/>
      <c r="L1886" s="8"/>
      <c r="M1886" s="8"/>
      <c r="N1886" s="8"/>
      <c r="O1886" s="8"/>
      <c r="P1886" s="8"/>
      <c r="Q1886" s="8"/>
    </row>
    <row r="1887" spans="9:17" s="1" customFormat="1" x14ac:dyDescent="0.25">
      <c r="I1887" s="8"/>
      <c r="K1887" s="8"/>
      <c r="L1887" s="8"/>
      <c r="M1887" s="8"/>
      <c r="N1887" s="8"/>
      <c r="O1887" s="8"/>
      <c r="P1887" s="8"/>
      <c r="Q1887" s="8"/>
    </row>
    <row r="1888" spans="9:17" s="1" customFormat="1" x14ac:dyDescent="0.25">
      <c r="I1888" s="8"/>
      <c r="K1888" s="8"/>
      <c r="L1888" s="8"/>
      <c r="M1888" s="8"/>
      <c r="N1888" s="8"/>
      <c r="O1888" s="8"/>
      <c r="P1888" s="8"/>
      <c r="Q1888" s="8"/>
    </row>
    <row r="1889" spans="9:17" s="1" customFormat="1" x14ac:dyDescent="0.25">
      <c r="I1889" s="8"/>
      <c r="K1889" s="8"/>
      <c r="L1889" s="8"/>
      <c r="M1889" s="8"/>
      <c r="N1889" s="8"/>
      <c r="O1889" s="8"/>
      <c r="P1889" s="8"/>
      <c r="Q1889" s="8"/>
    </row>
    <row r="1890" spans="9:17" s="1" customFormat="1" x14ac:dyDescent="0.25">
      <c r="I1890" s="8"/>
      <c r="K1890" s="8"/>
      <c r="L1890" s="8"/>
      <c r="M1890" s="8"/>
      <c r="N1890" s="8"/>
      <c r="O1890" s="8"/>
      <c r="P1890" s="8"/>
      <c r="Q1890" s="8"/>
    </row>
    <row r="1891" spans="9:17" s="1" customFormat="1" x14ac:dyDescent="0.25">
      <c r="I1891" s="8"/>
      <c r="K1891" s="8"/>
      <c r="L1891" s="8"/>
      <c r="M1891" s="8"/>
      <c r="N1891" s="8"/>
      <c r="O1891" s="8"/>
      <c r="P1891" s="8"/>
      <c r="Q1891" s="8"/>
    </row>
    <row r="1892" spans="9:17" s="1" customFormat="1" x14ac:dyDescent="0.25">
      <c r="I1892" s="8"/>
      <c r="K1892" s="8"/>
      <c r="L1892" s="8"/>
      <c r="M1892" s="8"/>
      <c r="N1892" s="8"/>
      <c r="O1892" s="8"/>
      <c r="P1892" s="8"/>
      <c r="Q1892" s="8"/>
    </row>
    <row r="1893" spans="9:17" s="1" customFormat="1" x14ac:dyDescent="0.25">
      <c r="I1893" s="8"/>
      <c r="K1893" s="8"/>
      <c r="L1893" s="8"/>
      <c r="M1893" s="8"/>
      <c r="N1893" s="8"/>
      <c r="O1893" s="8"/>
      <c r="P1893" s="8"/>
      <c r="Q1893" s="8"/>
    </row>
    <row r="1894" spans="9:17" s="1" customFormat="1" x14ac:dyDescent="0.25">
      <c r="I1894" s="8"/>
      <c r="K1894" s="8"/>
      <c r="L1894" s="8"/>
      <c r="M1894" s="8"/>
      <c r="N1894" s="8"/>
      <c r="O1894" s="8"/>
      <c r="P1894" s="8"/>
      <c r="Q1894" s="8"/>
    </row>
    <row r="1895" spans="9:17" s="1" customFormat="1" x14ac:dyDescent="0.25">
      <c r="I1895" s="8"/>
      <c r="K1895" s="8"/>
      <c r="L1895" s="8"/>
      <c r="M1895" s="8"/>
      <c r="N1895" s="8"/>
      <c r="O1895" s="8"/>
      <c r="P1895" s="8"/>
      <c r="Q1895" s="8"/>
    </row>
    <row r="1896" spans="9:17" s="1" customFormat="1" x14ac:dyDescent="0.25">
      <c r="I1896" s="8"/>
      <c r="K1896" s="8"/>
      <c r="L1896" s="8"/>
      <c r="M1896" s="8"/>
      <c r="N1896" s="8"/>
      <c r="O1896" s="8"/>
      <c r="P1896" s="8"/>
      <c r="Q1896" s="8"/>
    </row>
    <row r="1897" spans="9:17" s="1" customFormat="1" x14ac:dyDescent="0.25">
      <c r="I1897" s="8"/>
      <c r="K1897" s="8"/>
      <c r="L1897" s="8"/>
      <c r="M1897" s="8"/>
      <c r="N1897" s="8"/>
      <c r="O1897" s="8"/>
      <c r="P1897" s="8"/>
      <c r="Q1897" s="8"/>
    </row>
    <row r="1898" spans="9:17" s="1" customFormat="1" x14ac:dyDescent="0.25">
      <c r="I1898" s="8"/>
      <c r="K1898" s="8"/>
      <c r="L1898" s="8"/>
      <c r="M1898" s="8"/>
      <c r="N1898" s="8"/>
      <c r="O1898" s="8"/>
      <c r="P1898" s="8"/>
      <c r="Q1898" s="8"/>
    </row>
    <row r="1899" spans="9:17" s="1" customFormat="1" x14ac:dyDescent="0.25">
      <c r="I1899" s="8"/>
      <c r="K1899" s="8"/>
      <c r="L1899" s="8"/>
      <c r="M1899" s="8"/>
      <c r="N1899" s="8"/>
      <c r="O1899" s="8"/>
      <c r="P1899" s="8"/>
      <c r="Q1899" s="8"/>
    </row>
    <row r="1900" spans="9:17" s="1" customFormat="1" x14ac:dyDescent="0.25">
      <c r="I1900" s="8"/>
      <c r="K1900" s="8"/>
      <c r="L1900" s="8"/>
      <c r="M1900" s="8"/>
      <c r="N1900" s="8"/>
      <c r="O1900" s="8"/>
      <c r="P1900" s="8"/>
      <c r="Q1900" s="8"/>
    </row>
    <row r="1901" spans="9:17" s="1" customFormat="1" x14ac:dyDescent="0.25">
      <c r="I1901" s="8"/>
      <c r="K1901" s="8"/>
      <c r="L1901" s="8"/>
      <c r="M1901" s="8"/>
      <c r="N1901" s="8"/>
      <c r="O1901" s="8"/>
      <c r="P1901" s="8"/>
      <c r="Q1901" s="8"/>
    </row>
    <row r="1902" spans="9:17" s="1" customFormat="1" x14ac:dyDescent="0.25">
      <c r="I1902" s="8"/>
      <c r="K1902" s="8"/>
      <c r="L1902" s="8"/>
      <c r="M1902" s="8"/>
      <c r="N1902" s="8"/>
      <c r="O1902" s="8"/>
      <c r="P1902" s="8"/>
      <c r="Q1902" s="8"/>
    </row>
    <row r="1903" spans="9:17" s="1" customFormat="1" x14ac:dyDescent="0.25">
      <c r="I1903" s="8"/>
      <c r="K1903" s="8"/>
      <c r="L1903" s="8"/>
      <c r="M1903" s="8"/>
      <c r="N1903" s="8"/>
      <c r="O1903" s="8"/>
      <c r="P1903" s="8"/>
      <c r="Q1903" s="8"/>
    </row>
    <row r="1904" spans="9:17" s="1" customFormat="1" x14ac:dyDescent="0.25">
      <c r="I1904" s="8"/>
      <c r="K1904" s="8"/>
      <c r="L1904" s="8"/>
      <c r="M1904" s="8"/>
      <c r="N1904" s="8"/>
      <c r="O1904" s="8"/>
      <c r="P1904" s="8"/>
      <c r="Q1904" s="8"/>
    </row>
    <row r="1905" spans="9:17" s="1" customFormat="1" x14ac:dyDescent="0.25">
      <c r="I1905" s="8"/>
      <c r="K1905" s="8"/>
      <c r="L1905" s="8"/>
      <c r="M1905" s="8"/>
      <c r="N1905" s="8"/>
      <c r="O1905" s="8"/>
      <c r="P1905" s="8"/>
      <c r="Q1905" s="8"/>
    </row>
    <row r="1906" spans="9:17" s="1" customFormat="1" x14ac:dyDescent="0.25">
      <c r="I1906" s="8"/>
      <c r="K1906" s="8"/>
      <c r="L1906" s="8"/>
      <c r="M1906" s="8"/>
      <c r="N1906" s="8"/>
      <c r="O1906" s="8"/>
      <c r="P1906" s="8"/>
      <c r="Q1906" s="8"/>
    </row>
    <row r="1907" spans="9:17" s="1" customFormat="1" x14ac:dyDescent="0.25">
      <c r="I1907" s="8"/>
      <c r="K1907" s="8"/>
      <c r="L1907" s="8"/>
      <c r="M1907" s="8"/>
      <c r="N1907" s="8"/>
      <c r="O1907" s="8"/>
      <c r="P1907" s="8"/>
      <c r="Q1907" s="8"/>
    </row>
    <row r="1908" spans="9:17" s="1" customFormat="1" x14ac:dyDescent="0.25">
      <c r="I1908" s="8"/>
      <c r="K1908" s="8"/>
      <c r="L1908" s="8"/>
      <c r="M1908" s="8"/>
      <c r="N1908" s="8"/>
      <c r="O1908" s="8"/>
      <c r="P1908" s="8"/>
      <c r="Q1908" s="8"/>
    </row>
    <row r="1909" spans="9:17" s="1" customFormat="1" x14ac:dyDescent="0.25">
      <c r="I1909" s="8"/>
      <c r="K1909" s="8"/>
      <c r="L1909" s="8"/>
      <c r="M1909" s="8"/>
      <c r="N1909" s="8"/>
      <c r="O1909" s="8"/>
      <c r="P1909" s="8"/>
      <c r="Q1909" s="8"/>
    </row>
    <row r="1910" spans="9:17" s="1" customFormat="1" x14ac:dyDescent="0.25">
      <c r="I1910" s="8"/>
      <c r="K1910" s="8"/>
      <c r="L1910" s="8"/>
      <c r="M1910" s="8"/>
      <c r="N1910" s="8"/>
      <c r="O1910" s="8"/>
      <c r="P1910" s="8"/>
      <c r="Q1910" s="8"/>
    </row>
    <row r="1911" spans="9:17" s="1" customFormat="1" x14ac:dyDescent="0.25">
      <c r="I1911" s="8"/>
      <c r="K1911" s="8"/>
      <c r="L1911" s="8"/>
      <c r="M1911" s="8"/>
      <c r="N1911" s="8"/>
      <c r="O1911" s="8"/>
      <c r="P1911" s="8"/>
      <c r="Q1911" s="8"/>
    </row>
    <row r="1912" spans="9:17" s="1" customFormat="1" x14ac:dyDescent="0.25">
      <c r="I1912" s="8"/>
      <c r="K1912" s="8"/>
      <c r="L1912" s="8"/>
      <c r="M1912" s="8"/>
      <c r="N1912" s="8"/>
      <c r="O1912" s="8"/>
      <c r="P1912" s="8"/>
      <c r="Q1912" s="8"/>
    </row>
    <row r="1913" spans="9:17" s="1" customFormat="1" x14ac:dyDescent="0.25">
      <c r="I1913" s="8"/>
      <c r="K1913" s="8"/>
      <c r="L1913" s="8"/>
      <c r="M1913" s="8"/>
      <c r="N1913" s="8"/>
      <c r="O1913" s="8"/>
      <c r="P1913" s="8"/>
      <c r="Q1913" s="8"/>
    </row>
    <row r="1914" spans="9:17" s="1" customFormat="1" x14ac:dyDescent="0.25">
      <c r="I1914" s="8"/>
      <c r="K1914" s="8"/>
      <c r="L1914" s="8"/>
      <c r="M1914" s="8"/>
      <c r="N1914" s="8"/>
      <c r="O1914" s="8"/>
      <c r="P1914" s="8"/>
      <c r="Q1914" s="8"/>
    </row>
    <row r="1915" spans="9:17" s="1" customFormat="1" x14ac:dyDescent="0.25">
      <c r="I1915" s="8"/>
      <c r="K1915" s="8"/>
      <c r="L1915" s="8"/>
      <c r="M1915" s="8"/>
      <c r="N1915" s="8"/>
      <c r="O1915" s="8"/>
      <c r="P1915" s="8"/>
      <c r="Q1915" s="8"/>
    </row>
    <row r="1916" spans="9:17" s="1" customFormat="1" x14ac:dyDescent="0.25">
      <c r="I1916" s="8"/>
      <c r="K1916" s="8"/>
      <c r="L1916" s="8"/>
      <c r="M1916" s="8"/>
      <c r="N1916" s="8"/>
      <c r="O1916" s="8"/>
      <c r="P1916" s="8"/>
      <c r="Q1916" s="8"/>
    </row>
    <row r="1917" spans="9:17" s="1" customFormat="1" x14ac:dyDescent="0.25">
      <c r="I1917" s="8"/>
      <c r="K1917" s="8"/>
      <c r="L1917" s="8"/>
      <c r="M1917" s="8"/>
      <c r="N1917" s="8"/>
      <c r="O1917" s="8"/>
      <c r="P1917" s="8"/>
      <c r="Q1917" s="8"/>
    </row>
    <row r="1918" spans="9:17" s="1" customFormat="1" x14ac:dyDescent="0.25">
      <c r="I1918" s="8"/>
      <c r="K1918" s="8"/>
      <c r="L1918" s="8"/>
      <c r="M1918" s="8"/>
      <c r="N1918" s="8"/>
      <c r="O1918" s="8"/>
      <c r="P1918" s="8"/>
      <c r="Q1918" s="8"/>
    </row>
    <row r="1919" spans="9:17" s="1" customFormat="1" x14ac:dyDescent="0.25">
      <c r="I1919" s="8"/>
      <c r="K1919" s="8"/>
      <c r="L1919" s="8"/>
      <c r="M1919" s="8"/>
      <c r="N1919" s="8"/>
      <c r="O1919" s="8"/>
      <c r="P1919" s="8"/>
      <c r="Q1919" s="8"/>
    </row>
    <row r="1920" spans="9:17" s="1" customFormat="1" x14ac:dyDescent="0.25">
      <c r="I1920" s="8"/>
      <c r="K1920" s="8"/>
      <c r="L1920" s="8"/>
      <c r="M1920" s="8"/>
      <c r="N1920" s="8"/>
      <c r="O1920" s="8"/>
      <c r="P1920" s="8"/>
      <c r="Q1920" s="8"/>
    </row>
    <row r="1921" spans="9:17" s="1" customFormat="1" x14ac:dyDescent="0.25">
      <c r="I1921" s="8"/>
      <c r="K1921" s="8"/>
      <c r="L1921" s="8"/>
      <c r="M1921" s="8"/>
      <c r="N1921" s="8"/>
      <c r="O1921" s="8"/>
      <c r="P1921" s="8"/>
      <c r="Q1921" s="8"/>
    </row>
    <row r="1922" spans="9:17" s="1" customFormat="1" x14ac:dyDescent="0.25">
      <c r="I1922" s="8"/>
      <c r="K1922" s="8"/>
      <c r="L1922" s="8"/>
      <c r="M1922" s="8"/>
      <c r="N1922" s="8"/>
      <c r="O1922" s="8"/>
      <c r="P1922" s="8"/>
      <c r="Q1922" s="8"/>
    </row>
    <row r="1923" spans="9:17" s="1" customFormat="1" x14ac:dyDescent="0.25">
      <c r="I1923" s="8"/>
      <c r="K1923" s="8"/>
      <c r="L1923" s="8"/>
      <c r="M1923" s="8"/>
      <c r="N1923" s="8"/>
      <c r="O1923" s="8"/>
      <c r="P1923" s="8"/>
      <c r="Q1923" s="8"/>
    </row>
    <row r="1924" spans="9:17" s="1" customFormat="1" x14ac:dyDescent="0.25">
      <c r="I1924" s="8"/>
      <c r="K1924" s="8"/>
      <c r="L1924" s="8"/>
      <c r="M1924" s="8"/>
      <c r="N1924" s="8"/>
      <c r="O1924" s="8"/>
      <c r="P1924" s="8"/>
      <c r="Q1924" s="8"/>
    </row>
    <row r="1925" spans="9:17" s="1" customFormat="1" x14ac:dyDescent="0.25">
      <c r="I1925" s="8"/>
      <c r="K1925" s="8"/>
      <c r="L1925" s="8"/>
      <c r="M1925" s="8"/>
      <c r="N1925" s="8"/>
      <c r="O1925" s="8"/>
      <c r="P1925" s="8"/>
      <c r="Q1925" s="8"/>
    </row>
    <row r="1926" spans="9:17" s="1" customFormat="1" x14ac:dyDescent="0.25">
      <c r="I1926" s="8"/>
      <c r="K1926" s="8"/>
      <c r="L1926" s="8"/>
      <c r="M1926" s="8"/>
      <c r="N1926" s="8"/>
      <c r="O1926" s="8"/>
      <c r="P1926" s="8"/>
      <c r="Q1926" s="8"/>
    </row>
    <row r="1927" spans="9:17" s="1" customFormat="1" x14ac:dyDescent="0.25">
      <c r="I1927" s="8"/>
      <c r="K1927" s="8"/>
      <c r="L1927" s="8"/>
      <c r="M1927" s="8"/>
      <c r="N1927" s="8"/>
      <c r="O1927" s="8"/>
      <c r="P1927" s="8"/>
      <c r="Q1927" s="8"/>
    </row>
    <row r="1928" spans="9:17" s="1" customFormat="1" x14ac:dyDescent="0.25">
      <c r="I1928" s="8"/>
      <c r="K1928" s="8"/>
      <c r="L1928" s="8"/>
      <c r="M1928" s="8"/>
      <c r="N1928" s="8"/>
      <c r="O1928" s="8"/>
      <c r="P1928" s="8"/>
      <c r="Q1928" s="8"/>
    </row>
    <row r="1929" spans="9:17" s="1" customFormat="1" x14ac:dyDescent="0.25">
      <c r="I1929" s="8"/>
      <c r="K1929" s="8"/>
      <c r="L1929" s="8"/>
      <c r="M1929" s="8"/>
      <c r="N1929" s="8"/>
      <c r="O1929" s="8"/>
      <c r="P1929" s="8"/>
      <c r="Q1929" s="8"/>
    </row>
    <row r="1930" spans="9:17" s="1" customFormat="1" x14ac:dyDescent="0.25">
      <c r="I1930" s="8"/>
      <c r="K1930" s="8"/>
      <c r="L1930" s="8"/>
      <c r="M1930" s="8"/>
      <c r="N1930" s="8"/>
      <c r="O1930" s="8"/>
      <c r="P1930" s="8"/>
      <c r="Q1930" s="8"/>
    </row>
    <row r="1931" spans="9:17" s="1" customFormat="1" x14ac:dyDescent="0.25">
      <c r="I1931" s="8"/>
      <c r="K1931" s="8"/>
      <c r="L1931" s="8"/>
      <c r="M1931" s="8"/>
      <c r="N1931" s="8"/>
      <c r="O1931" s="8"/>
      <c r="P1931" s="8"/>
      <c r="Q1931" s="8"/>
    </row>
    <row r="1932" spans="9:17" s="1" customFormat="1" x14ac:dyDescent="0.25">
      <c r="I1932" s="8"/>
      <c r="K1932" s="8"/>
      <c r="L1932" s="8"/>
      <c r="M1932" s="8"/>
      <c r="N1932" s="8"/>
      <c r="O1932" s="8"/>
      <c r="P1932" s="8"/>
      <c r="Q1932" s="8"/>
    </row>
    <row r="1933" spans="9:17" s="1" customFormat="1" x14ac:dyDescent="0.25">
      <c r="I1933" s="8"/>
      <c r="K1933" s="8"/>
      <c r="L1933" s="8"/>
      <c r="M1933" s="8"/>
      <c r="N1933" s="8"/>
      <c r="O1933" s="8"/>
      <c r="P1933" s="8"/>
      <c r="Q1933" s="8"/>
    </row>
    <row r="1934" spans="9:17" s="1" customFormat="1" x14ac:dyDescent="0.25">
      <c r="I1934" s="8"/>
      <c r="K1934" s="8"/>
      <c r="L1934" s="8"/>
      <c r="M1934" s="8"/>
      <c r="N1934" s="8"/>
      <c r="O1934" s="8"/>
      <c r="P1934" s="8"/>
      <c r="Q1934" s="8"/>
    </row>
    <row r="1935" spans="9:17" s="1" customFormat="1" x14ac:dyDescent="0.25">
      <c r="I1935" s="8"/>
      <c r="K1935" s="8"/>
      <c r="L1935" s="8"/>
      <c r="M1935" s="8"/>
      <c r="N1935" s="8"/>
      <c r="O1935" s="8"/>
      <c r="P1935" s="8"/>
      <c r="Q1935" s="8"/>
    </row>
    <row r="1936" spans="9:17" s="1" customFormat="1" x14ac:dyDescent="0.25">
      <c r="I1936" s="8"/>
      <c r="K1936" s="8"/>
      <c r="L1936" s="8"/>
      <c r="M1936" s="8"/>
      <c r="N1936" s="8"/>
      <c r="O1936" s="8"/>
      <c r="P1936" s="8"/>
      <c r="Q1936" s="8"/>
    </row>
    <row r="1937" spans="9:17" s="1" customFormat="1" x14ac:dyDescent="0.25">
      <c r="I1937" s="8"/>
      <c r="K1937" s="8"/>
      <c r="L1937" s="8"/>
      <c r="M1937" s="8"/>
      <c r="N1937" s="8"/>
      <c r="O1937" s="8"/>
      <c r="P1937" s="8"/>
      <c r="Q1937" s="8"/>
    </row>
    <row r="1938" spans="9:17" s="1" customFormat="1" x14ac:dyDescent="0.25">
      <c r="I1938" s="8"/>
      <c r="K1938" s="8"/>
      <c r="L1938" s="8"/>
      <c r="M1938" s="8"/>
      <c r="N1938" s="8"/>
      <c r="O1938" s="8"/>
      <c r="P1938" s="8"/>
      <c r="Q1938" s="8"/>
    </row>
    <row r="1939" spans="9:17" s="1" customFormat="1" x14ac:dyDescent="0.25">
      <c r="I1939" s="8"/>
      <c r="K1939" s="8"/>
      <c r="L1939" s="8"/>
      <c r="M1939" s="8"/>
      <c r="N1939" s="8"/>
      <c r="O1939" s="8"/>
      <c r="P1939" s="8"/>
      <c r="Q1939" s="8"/>
    </row>
    <row r="1940" spans="9:17" s="1" customFormat="1" x14ac:dyDescent="0.25">
      <c r="I1940" s="8"/>
      <c r="K1940" s="8"/>
      <c r="L1940" s="8"/>
      <c r="M1940" s="8"/>
      <c r="N1940" s="8"/>
      <c r="O1940" s="8"/>
      <c r="P1940" s="8"/>
      <c r="Q1940" s="8"/>
    </row>
    <row r="1941" spans="9:17" s="1" customFormat="1" x14ac:dyDescent="0.25">
      <c r="I1941" s="8"/>
      <c r="K1941" s="8"/>
      <c r="L1941" s="8"/>
      <c r="M1941" s="8"/>
      <c r="N1941" s="8"/>
      <c r="O1941" s="8"/>
      <c r="P1941" s="8"/>
      <c r="Q1941" s="8"/>
    </row>
    <row r="1942" spans="9:17" s="1" customFormat="1" x14ac:dyDescent="0.25">
      <c r="I1942" s="8"/>
      <c r="K1942" s="8"/>
      <c r="L1942" s="8"/>
      <c r="M1942" s="8"/>
      <c r="N1942" s="8"/>
      <c r="O1942" s="8"/>
      <c r="P1942" s="8"/>
      <c r="Q1942" s="8"/>
    </row>
    <row r="1943" spans="9:17" s="1" customFormat="1" x14ac:dyDescent="0.25">
      <c r="I1943" s="8"/>
      <c r="K1943" s="8"/>
      <c r="L1943" s="8"/>
      <c r="M1943" s="8"/>
      <c r="N1943" s="8"/>
      <c r="O1943" s="8"/>
      <c r="P1943" s="8"/>
      <c r="Q1943" s="8"/>
    </row>
    <row r="1944" spans="9:17" s="1" customFormat="1" x14ac:dyDescent="0.25">
      <c r="I1944" s="8"/>
      <c r="K1944" s="8"/>
      <c r="L1944" s="8"/>
      <c r="M1944" s="8"/>
      <c r="N1944" s="8"/>
      <c r="O1944" s="8"/>
      <c r="P1944" s="8"/>
      <c r="Q1944" s="8"/>
    </row>
    <row r="1945" spans="9:17" s="1" customFormat="1" x14ac:dyDescent="0.25">
      <c r="I1945" s="8"/>
      <c r="K1945" s="8"/>
      <c r="L1945" s="8"/>
      <c r="M1945" s="8"/>
      <c r="N1945" s="8"/>
      <c r="O1945" s="8"/>
      <c r="P1945" s="8"/>
      <c r="Q1945" s="8"/>
    </row>
    <row r="1946" spans="9:17" s="1" customFormat="1" x14ac:dyDescent="0.25">
      <c r="I1946" s="8"/>
      <c r="K1946" s="8"/>
      <c r="L1946" s="8"/>
      <c r="M1946" s="8"/>
      <c r="N1946" s="8"/>
      <c r="O1946" s="8"/>
      <c r="P1946" s="8"/>
      <c r="Q1946" s="8"/>
    </row>
    <row r="1947" spans="9:17" s="1" customFormat="1" x14ac:dyDescent="0.25">
      <c r="I1947" s="8"/>
      <c r="K1947" s="8"/>
      <c r="L1947" s="8"/>
      <c r="M1947" s="8"/>
      <c r="N1947" s="8"/>
      <c r="O1947" s="8"/>
      <c r="P1947" s="8"/>
      <c r="Q1947" s="8"/>
    </row>
    <row r="1948" spans="9:17" s="1" customFormat="1" x14ac:dyDescent="0.25">
      <c r="I1948" s="8"/>
      <c r="K1948" s="8"/>
      <c r="L1948" s="8"/>
      <c r="M1948" s="8"/>
      <c r="N1948" s="8"/>
      <c r="O1948" s="8"/>
      <c r="P1948" s="8"/>
      <c r="Q1948" s="8"/>
    </row>
    <row r="1949" spans="9:17" s="1" customFormat="1" x14ac:dyDescent="0.25">
      <c r="I1949" s="8"/>
      <c r="K1949" s="8"/>
      <c r="L1949" s="8"/>
      <c r="M1949" s="8"/>
      <c r="N1949" s="8"/>
      <c r="O1949" s="8"/>
      <c r="P1949" s="8"/>
      <c r="Q1949" s="8"/>
    </row>
    <row r="1950" spans="9:17" s="1" customFormat="1" x14ac:dyDescent="0.25">
      <c r="I1950" s="8"/>
      <c r="K1950" s="8"/>
      <c r="L1950" s="8"/>
      <c r="M1950" s="8"/>
      <c r="N1950" s="8"/>
      <c r="O1950" s="8"/>
      <c r="P1950" s="8"/>
      <c r="Q1950" s="8"/>
    </row>
    <row r="1951" spans="9:17" s="1" customFormat="1" x14ac:dyDescent="0.25">
      <c r="I1951" s="8"/>
      <c r="K1951" s="8"/>
      <c r="L1951" s="8"/>
      <c r="M1951" s="8"/>
      <c r="N1951" s="8"/>
      <c r="O1951" s="8"/>
      <c r="P1951" s="8"/>
      <c r="Q1951" s="8"/>
    </row>
    <row r="1952" spans="9:17" s="1" customFormat="1" x14ac:dyDescent="0.25">
      <c r="I1952" s="8"/>
      <c r="K1952" s="8"/>
      <c r="L1952" s="8"/>
      <c r="M1952" s="8"/>
      <c r="N1952" s="8"/>
      <c r="O1952" s="8"/>
      <c r="P1952" s="8"/>
      <c r="Q1952" s="8"/>
    </row>
    <row r="1953" spans="9:17" s="1" customFormat="1" x14ac:dyDescent="0.25">
      <c r="I1953" s="8"/>
      <c r="K1953" s="8"/>
      <c r="L1953" s="8"/>
      <c r="M1953" s="8"/>
      <c r="N1953" s="8"/>
      <c r="O1953" s="8"/>
      <c r="P1953" s="8"/>
      <c r="Q1953" s="8"/>
    </row>
    <row r="1954" spans="9:17" s="1" customFormat="1" x14ac:dyDescent="0.25">
      <c r="I1954" s="8"/>
      <c r="K1954" s="8"/>
      <c r="L1954" s="8"/>
      <c r="M1954" s="8"/>
      <c r="N1954" s="8"/>
      <c r="O1954" s="8"/>
      <c r="P1954" s="8"/>
      <c r="Q1954" s="8"/>
    </row>
    <row r="1955" spans="9:17" s="1" customFormat="1" x14ac:dyDescent="0.25">
      <c r="I1955" s="8"/>
      <c r="K1955" s="8"/>
      <c r="L1955" s="8"/>
      <c r="M1955" s="8"/>
      <c r="N1955" s="8"/>
      <c r="O1955" s="8"/>
      <c r="P1955" s="8"/>
      <c r="Q1955" s="8"/>
    </row>
    <row r="1956" spans="9:17" s="1" customFormat="1" x14ac:dyDescent="0.25">
      <c r="I1956" s="8"/>
      <c r="K1956" s="8"/>
      <c r="L1956" s="8"/>
      <c r="M1956" s="8"/>
      <c r="N1956" s="8"/>
      <c r="O1956" s="8"/>
      <c r="P1956" s="8"/>
      <c r="Q1956" s="8"/>
    </row>
    <row r="1957" spans="9:17" s="1" customFormat="1" x14ac:dyDescent="0.25">
      <c r="I1957" s="8"/>
      <c r="K1957" s="8"/>
      <c r="L1957" s="8"/>
      <c r="M1957" s="8"/>
      <c r="N1957" s="8"/>
      <c r="O1957" s="8"/>
      <c r="P1957" s="8"/>
      <c r="Q1957" s="8"/>
    </row>
    <row r="1958" spans="9:17" s="1" customFormat="1" x14ac:dyDescent="0.25">
      <c r="I1958" s="8"/>
      <c r="K1958" s="8"/>
      <c r="L1958" s="8"/>
      <c r="M1958" s="8"/>
      <c r="N1958" s="8"/>
      <c r="O1958" s="8"/>
      <c r="P1958" s="8"/>
      <c r="Q1958" s="8"/>
    </row>
    <row r="1959" spans="9:17" s="1" customFormat="1" x14ac:dyDescent="0.25">
      <c r="I1959" s="8"/>
      <c r="K1959" s="8"/>
      <c r="L1959" s="8"/>
      <c r="M1959" s="8"/>
      <c r="N1959" s="8"/>
      <c r="O1959" s="8"/>
      <c r="P1959" s="8"/>
      <c r="Q1959" s="8"/>
    </row>
    <row r="1960" spans="9:17" s="1" customFormat="1" x14ac:dyDescent="0.25">
      <c r="I1960" s="8"/>
      <c r="K1960" s="8"/>
      <c r="L1960" s="8"/>
      <c r="M1960" s="8"/>
      <c r="N1960" s="8"/>
      <c r="O1960" s="8"/>
      <c r="P1960" s="8"/>
      <c r="Q1960" s="8"/>
    </row>
    <row r="1961" spans="9:17" s="1" customFormat="1" x14ac:dyDescent="0.25">
      <c r="I1961" s="8"/>
      <c r="K1961" s="8"/>
      <c r="L1961" s="8"/>
      <c r="M1961" s="8"/>
      <c r="N1961" s="8"/>
      <c r="O1961" s="8"/>
      <c r="P1961" s="8"/>
      <c r="Q1961" s="8"/>
    </row>
    <row r="1962" spans="9:17" s="1" customFormat="1" x14ac:dyDescent="0.25">
      <c r="I1962" s="8"/>
      <c r="K1962" s="8"/>
      <c r="L1962" s="8"/>
      <c r="M1962" s="8"/>
      <c r="N1962" s="8"/>
      <c r="O1962" s="8"/>
      <c r="P1962" s="8"/>
      <c r="Q1962" s="8"/>
    </row>
    <row r="1963" spans="9:17" s="1" customFormat="1" x14ac:dyDescent="0.25">
      <c r="I1963" s="8"/>
      <c r="K1963" s="8"/>
      <c r="L1963" s="8"/>
      <c r="M1963" s="8"/>
      <c r="N1963" s="8"/>
      <c r="O1963" s="8"/>
      <c r="P1963" s="8"/>
      <c r="Q1963" s="8"/>
    </row>
    <row r="1964" spans="9:17" s="1" customFormat="1" x14ac:dyDescent="0.25">
      <c r="I1964" s="8"/>
      <c r="K1964" s="8"/>
      <c r="L1964" s="8"/>
      <c r="M1964" s="8"/>
      <c r="N1964" s="8"/>
      <c r="O1964" s="8"/>
      <c r="P1964" s="8"/>
      <c r="Q1964" s="8"/>
    </row>
    <row r="1965" spans="9:17" s="1" customFormat="1" x14ac:dyDescent="0.25">
      <c r="I1965" s="8"/>
      <c r="K1965" s="8"/>
      <c r="L1965" s="8"/>
      <c r="M1965" s="8"/>
      <c r="N1965" s="8"/>
      <c r="O1965" s="8"/>
      <c r="P1965" s="8"/>
      <c r="Q1965" s="8"/>
    </row>
    <row r="1966" spans="9:17" s="1" customFormat="1" x14ac:dyDescent="0.25">
      <c r="I1966" s="8"/>
      <c r="K1966" s="8"/>
      <c r="L1966" s="8"/>
      <c r="M1966" s="8"/>
      <c r="N1966" s="8"/>
      <c r="O1966" s="8"/>
      <c r="P1966" s="8"/>
      <c r="Q1966" s="8"/>
    </row>
    <row r="1967" spans="9:17" s="1" customFormat="1" x14ac:dyDescent="0.25">
      <c r="I1967" s="8"/>
      <c r="K1967" s="8"/>
      <c r="L1967" s="8"/>
      <c r="M1967" s="8"/>
      <c r="N1967" s="8"/>
      <c r="O1967" s="8"/>
      <c r="P1967" s="8"/>
      <c r="Q1967" s="8"/>
    </row>
    <row r="1968" spans="9:17" s="1" customFormat="1" x14ac:dyDescent="0.25">
      <c r="I1968" s="8"/>
      <c r="K1968" s="8"/>
      <c r="L1968" s="8"/>
      <c r="M1968" s="8"/>
      <c r="N1968" s="8"/>
      <c r="O1968" s="8"/>
      <c r="P1968" s="8"/>
      <c r="Q1968" s="8"/>
    </row>
    <row r="1969" spans="9:17" s="1" customFormat="1" x14ac:dyDescent="0.25">
      <c r="I1969" s="8"/>
      <c r="K1969" s="8"/>
      <c r="L1969" s="8"/>
      <c r="M1969" s="8"/>
      <c r="N1969" s="8"/>
      <c r="O1969" s="8"/>
      <c r="P1969" s="8"/>
      <c r="Q1969" s="8"/>
    </row>
    <row r="1970" spans="9:17" s="1" customFormat="1" x14ac:dyDescent="0.25">
      <c r="I1970" s="8"/>
      <c r="K1970" s="8"/>
      <c r="L1970" s="8"/>
      <c r="M1970" s="8"/>
      <c r="N1970" s="8"/>
      <c r="O1970" s="8"/>
      <c r="P1970" s="8"/>
      <c r="Q1970" s="8"/>
    </row>
    <row r="1971" spans="9:17" s="1" customFormat="1" x14ac:dyDescent="0.25">
      <c r="I1971" s="8"/>
      <c r="K1971" s="8"/>
      <c r="L1971" s="8"/>
      <c r="M1971" s="8"/>
      <c r="N1971" s="8"/>
      <c r="O1971" s="8"/>
      <c r="P1971" s="8"/>
      <c r="Q1971" s="8"/>
    </row>
    <row r="1972" spans="9:17" s="1" customFormat="1" x14ac:dyDescent="0.25">
      <c r="I1972" s="8"/>
      <c r="K1972" s="8"/>
      <c r="L1972" s="8"/>
      <c r="M1972" s="8"/>
      <c r="N1972" s="8"/>
      <c r="O1972" s="8"/>
      <c r="P1972" s="8"/>
      <c r="Q1972" s="8"/>
    </row>
    <row r="1973" spans="9:17" s="1" customFormat="1" x14ac:dyDescent="0.25">
      <c r="I1973" s="8"/>
      <c r="K1973" s="8"/>
      <c r="L1973" s="8"/>
      <c r="M1973" s="8"/>
      <c r="N1973" s="8"/>
      <c r="O1973" s="8"/>
      <c r="P1973" s="8"/>
      <c r="Q1973" s="8"/>
    </row>
    <row r="1974" spans="9:17" s="1" customFormat="1" x14ac:dyDescent="0.25">
      <c r="I1974" s="8"/>
      <c r="K1974" s="8"/>
      <c r="L1974" s="8"/>
      <c r="M1974" s="8"/>
      <c r="N1974" s="8"/>
      <c r="O1974" s="8"/>
      <c r="P1974" s="8"/>
      <c r="Q1974" s="8"/>
    </row>
    <row r="1975" spans="9:17" s="1" customFormat="1" x14ac:dyDescent="0.25">
      <c r="I1975" s="8"/>
      <c r="K1975" s="8"/>
      <c r="L1975" s="8"/>
      <c r="M1975" s="8"/>
      <c r="N1975" s="8"/>
      <c r="O1975" s="8"/>
      <c r="P1975" s="8"/>
      <c r="Q1975" s="8"/>
    </row>
    <row r="1976" spans="9:17" s="1" customFormat="1" x14ac:dyDescent="0.25">
      <c r="I1976" s="8"/>
      <c r="K1976" s="8"/>
      <c r="L1976" s="8"/>
      <c r="M1976" s="8"/>
      <c r="N1976" s="8"/>
      <c r="O1976" s="8"/>
      <c r="P1976" s="8"/>
      <c r="Q1976" s="8"/>
    </row>
    <row r="1977" spans="9:17" s="1" customFormat="1" x14ac:dyDescent="0.25">
      <c r="I1977" s="8"/>
      <c r="K1977" s="8"/>
      <c r="L1977" s="8"/>
      <c r="M1977" s="8"/>
      <c r="N1977" s="8"/>
      <c r="O1977" s="8"/>
      <c r="P1977" s="8"/>
      <c r="Q1977" s="8"/>
    </row>
    <row r="1978" spans="9:17" s="1" customFormat="1" x14ac:dyDescent="0.25">
      <c r="I1978" s="8"/>
      <c r="K1978" s="8"/>
      <c r="L1978" s="8"/>
      <c r="M1978" s="8"/>
      <c r="N1978" s="8"/>
      <c r="O1978" s="8"/>
      <c r="P1978" s="8"/>
      <c r="Q1978" s="8"/>
    </row>
    <row r="1979" spans="9:17" s="1" customFormat="1" x14ac:dyDescent="0.25">
      <c r="I1979" s="8"/>
      <c r="K1979" s="8"/>
      <c r="L1979" s="8"/>
      <c r="M1979" s="8"/>
      <c r="N1979" s="8"/>
      <c r="O1979" s="8"/>
      <c r="P1979" s="8"/>
      <c r="Q1979" s="8"/>
    </row>
    <row r="1980" spans="9:17" s="1" customFormat="1" x14ac:dyDescent="0.25">
      <c r="I1980" s="8"/>
      <c r="K1980" s="8"/>
      <c r="L1980" s="8"/>
      <c r="M1980" s="8"/>
      <c r="N1980" s="8"/>
      <c r="O1980" s="8"/>
      <c r="P1980" s="8"/>
      <c r="Q1980" s="8"/>
    </row>
    <row r="1981" spans="9:17" s="1" customFormat="1" x14ac:dyDescent="0.25">
      <c r="I1981" s="8"/>
      <c r="K1981" s="8"/>
      <c r="L1981" s="8"/>
      <c r="M1981" s="8"/>
      <c r="N1981" s="8"/>
      <c r="O1981" s="8"/>
      <c r="P1981" s="8"/>
      <c r="Q1981" s="8"/>
    </row>
    <row r="1982" spans="9:17" s="1" customFormat="1" x14ac:dyDescent="0.25">
      <c r="I1982" s="8"/>
      <c r="K1982" s="8"/>
      <c r="L1982" s="8"/>
      <c r="M1982" s="8"/>
      <c r="N1982" s="8"/>
      <c r="O1982" s="8"/>
      <c r="P1982" s="8"/>
      <c r="Q1982" s="8"/>
    </row>
    <row r="1983" spans="9:17" s="1" customFormat="1" x14ac:dyDescent="0.25">
      <c r="I1983" s="8"/>
      <c r="K1983" s="8"/>
      <c r="L1983" s="8"/>
      <c r="M1983" s="8"/>
      <c r="N1983" s="8"/>
      <c r="O1983" s="8"/>
      <c r="P1983" s="8"/>
      <c r="Q1983" s="8"/>
    </row>
    <row r="1984" spans="9:17" s="1" customFormat="1" x14ac:dyDescent="0.25">
      <c r="I1984" s="8"/>
      <c r="K1984" s="8"/>
      <c r="L1984" s="8"/>
      <c r="M1984" s="8"/>
      <c r="N1984" s="8"/>
      <c r="O1984" s="8"/>
      <c r="P1984" s="8"/>
      <c r="Q1984" s="8"/>
    </row>
    <row r="1985" spans="9:17" s="1" customFormat="1" x14ac:dyDescent="0.25">
      <c r="I1985" s="8"/>
      <c r="K1985" s="8"/>
      <c r="L1985" s="8"/>
      <c r="M1985" s="8"/>
      <c r="N1985" s="8"/>
      <c r="O1985" s="8"/>
      <c r="P1985" s="8"/>
      <c r="Q1985" s="8"/>
    </row>
    <row r="1986" spans="9:17" s="1" customFormat="1" x14ac:dyDescent="0.25">
      <c r="I1986" s="8"/>
      <c r="K1986" s="8"/>
      <c r="L1986" s="8"/>
      <c r="M1986" s="8"/>
      <c r="N1986" s="8"/>
      <c r="O1986" s="8"/>
      <c r="P1986" s="8"/>
      <c r="Q1986" s="8"/>
    </row>
    <row r="1987" spans="9:17" s="1" customFormat="1" x14ac:dyDescent="0.25">
      <c r="I1987" s="8"/>
      <c r="K1987" s="8"/>
      <c r="L1987" s="8"/>
      <c r="M1987" s="8"/>
      <c r="N1987" s="8"/>
      <c r="O1987" s="8"/>
      <c r="P1987" s="8"/>
      <c r="Q1987" s="8"/>
    </row>
    <row r="1988" spans="9:17" s="1" customFormat="1" x14ac:dyDescent="0.25">
      <c r="I1988" s="8"/>
      <c r="K1988" s="8"/>
      <c r="L1988" s="8"/>
      <c r="M1988" s="8"/>
      <c r="N1988" s="8"/>
      <c r="O1988" s="8"/>
      <c r="P1988" s="8"/>
      <c r="Q1988" s="8"/>
    </row>
    <row r="1989" spans="9:17" s="1" customFormat="1" x14ac:dyDescent="0.25">
      <c r="I1989" s="8"/>
      <c r="K1989" s="8"/>
      <c r="L1989" s="8"/>
      <c r="M1989" s="8"/>
      <c r="N1989" s="8"/>
      <c r="O1989" s="8"/>
      <c r="P1989" s="8"/>
      <c r="Q1989" s="8"/>
    </row>
    <row r="1990" spans="9:17" s="1" customFormat="1" x14ac:dyDescent="0.25">
      <c r="I1990" s="8"/>
      <c r="K1990" s="8"/>
      <c r="L1990" s="8"/>
      <c r="M1990" s="8"/>
      <c r="N1990" s="8"/>
      <c r="O1990" s="8"/>
      <c r="P1990" s="8"/>
      <c r="Q1990" s="8"/>
    </row>
    <row r="1991" spans="9:17" s="1" customFormat="1" x14ac:dyDescent="0.25">
      <c r="I1991" s="8"/>
      <c r="K1991" s="8"/>
      <c r="L1991" s="8"/>
      <c r="M1991" s="8"/>
      <c r="N1991" s="8"/>
      <c r="O1991" s="8"/>
      <c r="P1991" s="8"/>
      <c r="Q1991" s="8"/>
    </row>
    <row r="1992" spans="9:17" s="1" customFormat="1" x14ac:dyDescent="0.25">
      <c r="I1992" s="8"/>
      <c r="K1992" s="8"/>
      <c r="L1992" s="8"/>
      <c r="M1992" s="8"/>
      <c r="N1992" s="8"/>
      <c r="O1992" s="8"/>
      <c r="P1992" s="8"/>
      <c r="Q1992" s="8"/>
    </row>
    <row r="1993" spans="9:17" s="1" customFormat="1" x14ac:dyDescent="0.25">
      <c r="I1993" s="8"/>
      <c r="K1993" s="8"/>
      <c r="L1993" s="8"/>
      <c r="M1993" s="8"/>
      <c r="N1993" s="8"/>
      <c r="O1993" s="8"/>
      <c r="P1993" s="8"/>
      <c r="Q1993" s="8"/>
    </row>
    <row r="1994" spans="9:17" s="1" customFormat="1" x14ac:dyDescent="0.25">
      <c r="I1994" s="8"/>
      <c r="K1994" s="8"/>
      <c r="L1994" s="8"/>
      <c r="M1994" s="8"/>
      <c r="N1994" s="8"/>
      <c r="O1994" s="8"/>
      <c r="P1994" s="8"/>
      <c r="Q1994" s="8"/>
    </row>
    <row r="1995" spans="9:17" s="1" customFormat="1" x14ac:dyDescent="0.25">
      <c r="I1995" s="8"/>
      <c r="K1995" s="8"/>
      <c r="L1995" s="8"/>
      <c r="M1995" s="8"/>
      <c r="N1995" s="8"/>
      <c r="O1995" s="8"/>
      <c r="P1995" s="8"/>
      <c r="Q1995" s="8"/>
    </row>
    <row r="1996" spans="9:17" s="1" customFormat="1" x14ac:dyDescent="0.25">
      <c r="I1996" s="8"/>
      <c r="K1996" s="8"/>
      <c r="L1996" s="8"/>
      <c r="M1996" s="8"/>
      <c r="N1996" s="8"/>
      <c r="O1996" s="8"/>
      <c r="P1996" s="8"/>
      <c r="Q1996" s="8"/>
    </row>
    <row r="1997" spans="9:17" s="1" customFormat="1" x14ac:dyDescent="0.25">
      <c r="I1997" s="8"/>
      <c r="K1997" s="8"/>
      <c r="L1997" s="8"/>
      <c r="M1997" s="8"/>
      <c r="N1997" s="8"/>
      <c r="O1997" s="8"/>
      <c r="P1997" s="8"/>
      <c r="Q1997" s="8"/>
    </row>
    <row r="1998" spans="9:17" s="1" customFormat="1" x14ac:dyDescent="0.25">
      <c r="I1998" s="8"/>
      <c r="K1998" s="8"/>
      <c r="L1998" s="8"/>
      <c r="M1998" s="8"/>
      <c r="N1998" s="8"/>
      <c r="O1998" s="8"/>
      <c r="P1998" s="8"/>
      <c r="Q1998" s="8"/>
    </row>
    <row r="1999" spans="9:17" s="1" customFormat="1" x14ac:dyDescent="0.25">
      <c r="I1999" s="8"/>
      <c r="K1999" s="8"/>
      <c r="L1999" s="8"/>
      <c r="M1999" s="8"/>
      <c r="N1999" s="8"/>
      <c r="O1999" s="8"/>
      <c r="P1999" s="8"/>
      <c r="Q1999" s="8"/>
    </row>
    <row r="2000" spans="9:17" s="1" customFormat="1" x14ac:dyDescent="0.25">
      <c r="I2000" s="8"/>
      <c r="K2000" s="8"/>
      <c r="L2000" s="8"/>
      <c r="M2000" s="8"/>
      <c r="N2000" s="8"/>
      <c r="O2000" s="8"/>
      <c r="P2000" s="8"/>
      <c r="Q2000" s="8"/>
    </row>
    <row r="2001" spans="9:17" s="1" customFormat="1" x14ac:dyDescent="0.25">
      <c r="I2001" s="8"/>
      <c r="K2001" s="8"/>
      <c r="L2001" s="8"/>
      <c r="M2001" s="8"/>
      <c r="N2001" s="8"/>
      <c r="O2001" s="8"/>
      <c r="P2001" s="8"/>
      <c r="Q2001" s="8"/>
    </row>
    <row r="2002" spans="9:17" s="1" customFormat="1" x14ac:dyDescent="0.25">
      <c r="I2002" s="8"/>
      <c r="K2002" s="8"/>
      <c r="L2002" s="8"/>
      <c r="M2002" s="8"/>
      <c r="N2002" s="8"/>
      <c r="O2002" s="8"/>
      <c r="P2002" s="8"/>
      <c r="Q2002" s="8"/>
    </row>
    <row r="2003" spans="9:17" s="1" customFormat="1" x14ac:dyDescent="0.25">
      <c r="I2003" s="8"/>
      <c r="K2003" s="8"/>
      <c r="L2003" s="8"/>
      <c r="M2003" s="8"/>
      <c r="N2003" s="8"/>
      <c r="O2003" s="8"/>
      <c r="P2003" s="8"/>
      <c r="Q2003" s="8"/>
    </row>
    <row r="2004" spans="9:17" s="1" customFormat="1" x14ac:dyDescent="0.25">
      <c r="I2004" s="8"/>
      <c r="K2004" s="8"/>
      <c r="L2004" s="8"/>
      <c r="M2004" s="8"/>
      <c r="N2004" s="8"/>
      <c r="O2004" s="8"/>
      <c r="P2004" s="8"/>
      <c r="Q2004" s="8"/>
    </row>
    <row r="2005" spans="9:17" s="1" customFormat="1" x14ac:dyDescent="0.25">
      <c r="I2005" s="8"/>
      <c r="K2005" s="8"/>
      <c r="L2005" s="8"/>
      <c r="M2005" s="8"/>
      <c r="N2005" s="8"/>
      <c r="O2005" s="8"/>
      <c r="P2005" s="8"/>
      <c r="Q2005" s="8"/>
    </row>
    <row r="2006" spans="9:17" s="1" customFormat="1" x14ac:dyDescent="0.25">
      <c r="I2006" s="8"/>
      <c r="K2006" s="8"/>
      <c r="L2006" s="8"/>
      <c r="M2006" s="8"/>
      <c r="N2006" s="8"/>
      <c r="O2006" s="8"/>
      <c r="P2006" s="8"/>
      <c r="Q2006" s="8"/>
    </row>
    <row r="2007" spans="9:17" s="1" customFormat="1" x14ac:dyDescent="0.25">
      <c r="I2007" s="8"/>
      <c r="K2007" s="8"/>
      <c r="L2007" s="8"/>
      <c r="M2007" s="8"/>
      <c r="N2007" s="8"/>
      <c r="O2007" s="8"/>
      <c r="P2007" s="8"/>
      <c r="Q2007" s="8"/>
    </row>
    <row r="2008" spans="9:17" s="1" customFormat="1" x14ac:dyDescent="0.25">
      <c r="I2008" s="8"/>
      <c r="K2008" s="8"/>
      <c r="L2008" s="8"/>
      <c r="M2008" s="8"/>
      <c r="N2008" s="8"/>
      <c r="O2008" s="8"/>
      <c r="P2008" s="8"/>
      <c r="Q2008" s="8"/>
    </row>
    <row r="2009" spans="9:17" s="1" customFormat="1" x14ac:dyDescent="0.25">
      <c r="I2009" s="8"/>
      <c r="K2009" s="8"/>
      <c r="L2009" s="8"/>
      <c r="M2009" s="8"/>
      <c r="N2009" s="8"/>
      <c r="O2009" s="8"/>
      <c r="P2009" s="8"/>
      <c r="Q2009" s="8"/>
    </row>
    <row r="2010" spans="9:17" s="1" customFormat="1" x14ac:dyDescent="0.25">
      <c r="I2010" s="8"/>
      <c r="K2010" s="8"/>
      <c r="L2010" s="8"/>
      <c r="M2010" s="8"/>
      <c r="N2010" s="8"/>
      <c r="O2010" s="8"/>
      <c r="P2010" s="8"/>
      <c r="Q2010" s="8"/>
    </row>
    <row r="2011" spans="9:17" s="1" customFormat="1" x14ac:dyDescent="0.25">
      <c r="I2011" s="8"/>
      <c r="K2011" s="8"/>
      <c r="L2011" s="8"/>
      <c r="M2011" s="8"/>
      <c r="N2011" s="8"/>
      <c r="O2011" s="8"/>
      <c r="P2011" s="8"/>
      <c r="Q2011" s="8"/>
    </row>
    <row r="2012" spans="9:17" s="1" customFormat="1" x14ac:dyDescent="0.25">
      <c r="I2012" s="8"/>
      <c r="K2012" s="8"/>
      <c r="L2012" s="8"/>
      <c r="M2012" s="8"/>
      <c r="N2012" s="8"/>
      <c r="O2012" s="8"/>
      <c r="P2012" s="8"/>
      <c r="Q2012" s="8"/>
    </row>
    <row r="2013" spans="9:17" s="1" customFormat="1" x14ac:dyDescent="0.25">
      <c r="I2013" s="8"/>
      <c r="K2013" s="8"/>
      <c r="L2013" s="8"/>
      <c r="M2013" s="8"/>
      <c r="N2013" s="8"/>
      <c r="O2013" s="8"/>
      <c r="P2013" s="8"/>
      <c r="Q2013" s="8"/>
    </row>
    <row r="2014" spans="9:17" s="1" customFormat="1" x14ac:dyDescent="0.25">
      <c r="I2014" s="8"/>
      <c r="K2014" s="8"/>
      <c r="L2014" s="8"/>
      <c r="M2014" s="8"/>
      <c r="N2014" s="8"/>
      <c r="O2014" s="8"/>
      <c r="P2014" s="8"/>
      <c r="Q2014" s="8"/>
    </row>
    <row r="2015" spans="9:17" s="1" customFormat="1" x14ac:dyDescent="0.25">
      <c r="I2015" s="8"/>
      <c r="K2015" s="8"/>
      <c r="L2015" s="8"/>
      <c r="M2015" s="8"/>
      <c r="N2015" s="8"/>
      <c r="O2015" s="8"/>
      <c r="P2015" s="8"/>
      <c r="Q2015" s="8"/>
    </row>
    <row r="2016" spans="9:17" s="1" customFormat="1" x14ac:dyDescent="0.25">
      <c r="I2016" s="8"/>
      <c r="K2016" s="8"/>
      <c r="L2016" s="8"/>
      <c r="M2016" s="8"/>
      <c r="N2016" s="8"/>
      <c r="O2016" s="8"/>
      <c r="P2016" s="8"/>
      <c r="Q2016" s="8"/>
    </row>
    <row r="2017" spans="9:17" s="1" customFormat="1" x14ac:dyDescent="0.25">
      <c r="I2017" s="8"/>
      <c r="K2017" s="8"/>
      <c r="L2017" s="8"/>
      <c r="M2017" s="8"/>
      <c r="N2017" s="8"/>
      <c r="O2017" s="8"/>
      <c r="P2017" s="8"/>
      <c r="Q2017" s="8"/>
    </row>
    <row r="2018" spans="9:17" s="1" customFormat="1" x14ac:dyDescent="0.25">
      <c r="I2018" s="8"/>
      <c r="K2018" s="8"/>
      <c r="L2018" s="8"/>
      <c r="M2018" s="8"/>
      <c r="N2018" s="8"/>
      <c r="O2018" s="8"/>
      <c r="P2018" s="8"/>
      <c r="Q2018" s="8"/>
    </row>
    <row r="2019" spans="9:17" s="1" customFormat="1" x14ac:dyDescent="0.25">
      <c r="I2019" s="8"/>
      <c r="K2019" s="8"/>
      <c r="L2019" s="8"/>
      <c r="M2019" s="8"/>
      <c r="N2019" s="8"/>
      <c r="O2019" s="8"/>
      <c r="P2019" s="8"/>
      <c r="Q2019" s="8"/>
    </row>
    <row r="2020" spans="9:17" s="1" customFormat="1" x14ac:dyDescent="0.25">
      <c r="I2020" s="8"/>
      <c r="K2020" s="8"/>
      <c r="L2020" s="8"/>
      <c r="M2020" s="8"/>
      <c r="N2020" s="8"/>
      <c r="O2020" s="8"/>
      <c r="P2020" s="8"/>
      <c r="Q2020" s="8"/>
    </row>
    <row r="2021" spans="9:17" s="1" customFormat="1" x14ac:dyDescent="0.25">
      <c r="I2021" s="8"/>
      <c r="K2021" s="8"/>
      <c r="L2021" s="8"/>
      <c r="M2021" s="8"/>
      <c r="N2021" s="8"/>
      <c r="O2021" s="8"/>
      <c r="P2021" s="8"/>
      <c r="Q2021" s="8"/>
    </row>
    <row r="2022" spans="9:17" s="1" customFormat="1" x14ac:dyDescent="0.25">
      <c r="I2022" s="8"/>
      <c r="K2022" s="8"/>
      <c r="L2022" s="8"/>
      <c r="M2022" s="8"/>
      <c r="N2022" s="8"/>
      <c r="O2022" s="8"/>
      <c r="P2022" s="8"/>
      <c r="Q2022" s="8"/>
    </row>
    <row r="2023" spans="9:17" s="1" customFormat="1" x14ac:dyDescent="0.25">
      <c r="I2023" s="8"/>
      <c r="K2023" s="8"/>
      <c r="L2023" s="8"/>
      <c r="M2023" s="8"/>
      <c r="N2023" s="8"/>
      <c r="O2023" s="8"/>
      <c r="P2023" s="8"/>
      <c r="Q2023" s="8"/>
    </row>
    <row r="2024" spans="9:17" s="1" customFormat="1" x14ac:dyDescent="0.25">
      <c r="I2024" s="8"/>
      <c r="K2024" s="8"/>
      <c r="L2024" s="8"/>
      <c r="M2024" s="8"/>
      <c r="N2024" s="8"/>
      <c r="O2024" s="8"/>
      <c r="P2024" s="8"/>
      <c r="Q2024" s="8"/>
    </row>
    <row r="2025" spans="9:17" s="1" customFormat="1" x14ac:dyDescent="0.25">
      <c r="I2025" s="8"/>
      <c r="K2025" s="8"/>
      <c r="L2025" s="8"/>
      <c r="M2025" s="8"/>
      <c r="N2025" s="8"/>
      <c r="O2025" s="8"/>
      <c r="P2025" s="8"/>
      <c r="Q2025" s="8"/>
    </row>
    <row r="2026" spans="9:17" s="1" customFormat="1" x14ac:dyDescent="0.25">
      <c r="I2026" s="8"/>
      <c r="K2026" s="8"/>
      <c r="L2026" s="8"/>
      <c r="M2026" s="8"/>
      <c r="N2026" s="8"/>
      <c r="O2026" s="8"/>
      <c r="P2026" s="8"/>
      <c r="Q2026" s="8"/>
    </row>
    <row r="2027" spans="9:17" s="1" customFormat="1" x14ac:dyDescent="0.25">
      <c r="I2027" s="8"/>
      <c r="K2027" s="8"/>
      <c r="L2027" s="8"/>
      <c r="M2027" s="8"/>
      <c r="N2027" s="8"/>
      <c r="O2027" s="8"/>
      <c r="P2027" s="8"/>
      <c r="Q2027" s="8"/>
    </row>
    <row r="2028" spans="9:17" s="1" customFormat="1" x14ac:dyDescent="0.25">
      <c r="I2028" s="8"/>
      <c r="K2028" s="8"/>
      <c r="L2028" s="8"/>
      <c r="M2028" s="8"/>
      <c r="N2028" s="8"/>
      <c r="O2028" s="8"/>
      <c r="P2028" s="8"/>
      <c r="Q2028" s="8"/>
    </row>
    <row r="2029" spans="9:17" s="1" customFormat="1" x14ac:dyDescent="0.25">
      <c r="I2029" s="8"/>
      <c r="K2029" s="8"/>
      <c r="L2029" s="8"/>
      <c r="M2029" s="8"/>
      <c r="N2029" s="8"/>
      <c r="O2029" s="8"/>
      <c r="P2029" s="8"/>
      <c r="Q2029" s="8"/>
    </row>
    <row r="2030" spans="9:17" s="1" customFormat="1" x14ac:dyDescent="0.25">
      <c r="I2030" s="8"/>
      <c r="K2030" s="8"/>
      <c r="L2030" s="8"/>
      <c r="M2030" s="8"/>
      <c r="N2030" s="8"/>
      <c r="O2030" s="8"/>
      <c r="P2030" s="8"/>
      <c r="Q2030" s="8"/>
    </row>
    <row r="2031" spans="9:17" s="1" customFormat="1" x14ac:dyDescent="0.25">
      <c r="I2031" s="8"/>
      <c r="K2031" s="8"/>
      <c r="L2031" s="8"/>
      <c r="M2031" s="8"/>
      <c r="N2031" s="8"/>
      <c r="O2031" s="8"/>
      <c r="P2031" s="8"/>
      <c r="Q2031" s="8"/>
    </row>
    <row r="2032" spans="9:17" s="1" customFormat="1" x14ac:dyDescent="0.25">
      <c r="I2032" s="8"/>
      <c r="K2032" s="8"/>
      <c r="L2032" s="8"/>
      <c r="M2032" s="8"/>
      <c r="N2032" s="8"/>
      <c r="O2032" s="8"/>
      <c r="P2032" s="8"/>
      <c r="Q2032" s="8"/>
    </row>
    <row r="2033" spans="9:17" s="1" customFormat="1" x14ac:dyDescent="0.25">
      <c r="I2033" s="8"/>
      <c r="K2033" s="8"/>
      <c r="L2033" s="8"/>
      <c r="M2033" s="8"/>
      <c r="N2033" s="8"/>
      <c r="O2033" s="8"/>
      <c r="P2033" s="8"/>
      <c r="Q2033" s="8"/>
    </row>
    <row r="2034" spans="9:17" s="1" customFormat="1" x14ac:dyDescent="0.25">
      <c r="I2034" s="8"/>
      <c r="K2034" s="8"/>
      <c r="L2034" s="8"/>
      <c r="M2034" s="8"/>
      <c r="N2034" s="8"/>
      <c r="O2034" s="8"/>
      <c r="P2034" s="8"/>
      <c r="Q2034" s="8"/>
    </row>
    <row r="2035" spans="9:17" s="1" customFormat="1" x14ac:dyDescent="0.25">
      <c r="I2035" s="8"/>
      <c r="K2035" s="8"/>
      <c r="L2035" s="8"/>
      <c r="M2035" s="8"/>
      <c r="N2035" s="8"/>
      <c r="O2035" s="8"/>
      <c r="P2035" s="8"/>
      <c r="Q2035" s="8"/>
    </row>
    <row r="2036" spans="9:17" s="1" customFormat="1" x14ac:dyDescent="0.25">
      <c r="I2036" s="8"/>
      <c r="K2036" s="8"/>
      <c r="L2036" s="8"/>
      <c r="M2036" s="8"/>
      <c r="N2036" s="8"/>
      <c r="O2036" s="8"/>
      <c r="P2036" s="8"/>
      <c r="Q2036" s="8"/>
    </row>
    <row r="2037" spans="9:17" s="1" customFormat="1" x14ac:dyDescent="0.25">
      <c r="I2037" s="8"/>
      <c r="K2037" s="8"/>
      <c r="L2037" s="8"/>
      <c r="M2037" s="8"/>
      <c r="N2037" s="8"/>
      <c r="O2037" s="8"/>
      <c r="P2037" s="8"/>
      <c r="Q2037" s="8"/>
    </row>
    <row r="2038" spans="9:17" s="1" customFormat="1" x14ac:dyDescent="0.25">
      <c r="I2038" s="8"/>
      <c r="K2038" s="8"/>
      <c r="L2038" s="8"/>
      <c r="M2038" s="8"/>
      <c r="N2038" s="8"/>
      <c r="O2038" s="8"/>
      <c r="P2038" s="8"/>
      <c r="Q2038" s="8"/>
    </row>
    <row r="2039" spans="9:17" s="1" customFormat="1" x14ac:dyDescent="0.25">
      <c r="I2039" s="8"/>
      <c r="K2039" s="8"/>
      <c r="L2039" s="8"/>
      <c r="M2039" s="8"/>
      <c r="N2039" s="8"/>
      <c r="O2039" s="8"/>
      <c r="P2039" s="8"/>
      <c r="Q2039" s="8"/>
    </row>
    <row r="2040" spans="9:17" s="1" customFormat="1" x14ac:dyDescent="0.25">
      <c r="I2040" s="8"/>
      <c r="K2040" s="8"/>
      <c r="L2040" s="8"/>
      <c r="M2040" s="8"/>
      <c r="N2040" s="8"/>
      <c r="O2040" s="8"/>
      <c r="P2040" s="8"/>
      <c r="Q2040" s="8"/>
    </row>
    <row r="2041" spans="9:17" s="1" customFormat="1" x14ac:dyDescent="0.25">
      <c r="I2041" s="8"/>
      <c r="K2041" s="8"/>
      <c r="L2041" s="8"/>
      <c r="M2041" s="8"/>
      <c r="N2041" s="8"/>
      <c r="O2041" s="8"/>
      <c r="P2041" s="8"/>
      <c r="Q2041" s="8"/>
    </row>
    <row r="2042" spans="9:17" s="1" customFormat="1" x14ac:dyDescent="0.25">
      <c r="I2042" s="8"/>
      <c r="K2042" s="8"/>
      <c r="L2042" s="8"/>
      <c r="M2042" s="8"/>
      <c r="N2042" s="8"/>
      <c r="O2042" s="8"/>
      <c r="P2042" s="8"/>
      <c r="Q2042" s="8"/>
    </row>
    <row r="2043" spans="9:17" s="1" customFormat="1" x14ac:dyDescent="0.25">
      <c r="I2043" s="8"/>
      <c r="K2043" s="8"/>
      <c r="L2043" s="8"/>
      <c r="M2043" s="8"/>
      <c r="N2043" s="8"/>
      <c r="O2043" s="8"/>
      <c r="P2043" s="8"/>
      <c r="Q2043" s="8"/>
    </row>
    <row r="2044" spans="9:17" s="1" customFormat="1" x14ac:dyDescent="0.25">
      <c r="I2044" s="8"/>
      <c r="K2044" s="8"/>
      <c r="L2044" s="8"/>
      <c r="M2044" s="8"/>
      <c r="N2044" s="8"/>
      <c r="O2044" s="8"/>
      <c r="P2044" s="8"/>
      <c r="Q2044" s="8"/>
    </row>
    <row r="2045" spans="9:17" s="1" customFormat="1" x14ac:dyDescent="0.25">
      <c r="I2045" s="8"/>
      <c r="K2045" s="8"/>
      <c r="L2045" s="8"/>
      <c r="M2045" s="8"/>
      <c r="N2045" s="8"/>
      <c r="O2045" s="8"/>
      <c r="P2045" s="8"/>
      <c r="Q2045" s="8"/>
    </row>
    <row r="2046" spans="9:17" s="1" customFormat="1" x14ac:dyDescent="0.25">
      <c r="I2046" s="8"/>
      <c r="K2046" s="8"/>
      <c r="L2046" s="8"/>
      <c r="M2046" s="8"/>
      <c r="N2046" s="8"/>
      <c r="O2046" s="8"/>
      <c r="P2046" s="8"/>
      <c r="Q2046" s="8"/>
    </row>
    <row r="2047" spans="9:17" s="1" customFormat="1" x14ac:dyDescent="0.25">
      <c r="I2047" s="8"/>
      <c r="K2047" s="8"/>
      <c r="L2047" s="8"/>
      <c r="M2047" s="8"/>
      <c r="N2047" s="8"/>
      <c r="O2047" s="8"/>
      <c r="P2047" s="8"/>
      <c r="Q2047" s="8"/>
    </row>
    <row r="2048" spans="9:17" s="1" customFormat="1" x14ac:dyDescent="0.25">
      <c r="I2048" s="8"/>
      <c r="K2048" s="8"/>
      <c r="L2048" s="8"/>
      <c r="M2048" s="8"/>
      <c r="N2048" s="8"/>
      <c r="O2048" s="8"/>
      <c r="P2048" s="8"/>
      <c r="Q2048" s="8"/>
    </row>
    <row r="2049" spans="9:17" s="1" customFormat="1" x14ac:dyDescent="0.25">
      <c r="I2049" s="8"/>
      <c r="K2049" s="8"/>
      <c r="L2049" s="8"/>
      <c r="M2049" s="8"/>
      <c r="N2049" s="8"/>
      <c r="O2049" s="8"/>
      <c r="P2049" s="8"/>
      <c r="Q2049" s="8"/>
    </row>
    <row r="2050" spans="9:17" s="1" customFormat="1" x14ac:dyDescent="0.25">
      <c r="I2050" s="8"/>
      <c r="K2050" s="8"/>
      <c r="L2050" s="8"/>
      <c r="M2050" s="8"/>
      <c r="N2050" s="8"/>
      <c r="O2050" s="8"/>
      <c r="P2050" s="8"/>
      <c r="Q2050" s="8"/>
    </row>
    <row r="2051" spans="9:17" s="1" customFormat="1" x14ac:dyDescent="0.25">
      <c r="I2051" s="8"/>
      <c r="K2051" s="8"/>
      <c r="L2051" s="8"/>
      <c r="M2051" s="8"/>
      <c r="N2051" s="8"/>
      <c r="O2051" s="8"/>
      <c r="P2051" s="8"/>
      <c r="Q2051" s="8"/>
    </row>
    <row r="2052" spans="9:17" s="1" customFormat="1" x14ac:dyDescent="0.25">
      <c r="I2052" s="8"/>
      <c r="K2052" s="8"/>
      <c r="L2052" s="8"/>
      <c r="M2052" s="8"/>
      <c r="N2052" s="8"/>
      <c r="O2052" s="8"/>
      <c r="P2052" s="8"/>
      <c r="Q2052" s="8"/>
    </row>
    <row r="2053" spans="9:17" s="1" customFormat="1" x14ac:dyDescent="0.25">
      <c r="I2053" s="8"/>
      <c r="K2053" s="8"/>
      <c r="L2053" s="8"/>
      <c r="M2053" s="8"/>
      <c r="N2053" s="8"/>
      <c r="O2053" s="8"/>
      <c r="P2053" s="8"/>
      <c r="Q2053" s="8"/>
    </row>
    <row r="2054" spans="9:17" s="1" customFormat="1" x14ac:dyDescent="0.25">
      <c r="I2054" s="8"/>
      <c r="K2054" s="8"/>
      <c r="L2054" s="8"/>
      <c r="M2054" s="8"/>
      <c r="N2054" s="8"/>
      <c r="O2054" s="8"/>
      <c r="P2054" s="8"/>
      <c r="Q2054" s="8"/>
    </row>
    <row r="2055" spans="9:17" s="1" customFormat="1" x14ac:dyDescent="0.25">
      <c r="I2055" s="8"/>
      <c r="K2055" s="8"/>
      <c r="L2055" s="8"/>
      <c r="M2055" s="8"/>
      <c r="N2055" s="8"/>
      <c r="O2055" s="8"/>
      <c r="P2055" s="8"/>
      <c r="Q2055" s="8"/>
    </row>
    <row r="2056" spans="9:17" s="1" customFormat="1" x14ac:dyDescent="0.25">
      <c r="I2056" s="8"/>
      <c r="K2056" s="8"/>
      <c r="L2056" s="8"/>
      <c r="M2056" s="8"/>
      <c r="N2056" s="8"/>
      <c r="O2056" s="8"/>
      <c r="P2056" s="8"/>
      <c r="Q2056" s="8"/>
    </row>
    <row r="2057" spans="9:17" s="1" customFormat="1" x14ac:dyDescent="0.25">
      <c r="I2057" s="8"/>
      <c r="K2057" s="8"/>
      <c r="L2057" s="8"/>
      <c r="M2057" s="8"/>
      <c r="N2057" s="8"/>
      <c r="O2057" s="8"/>
      <c r="P2057" s="8"/>
      <c r="Q2057" s="8"/>
    </row>
    <row r="2058" spans="9:17" s="1" customFormat="1" x14ac:dyDescent="0.25">
      <c r="I2058" s="8"/>
      <c r="K2058" s="8"/>
      <c r="L2058" s="8"/>
      <c r="M2058" s="8"/>
      <c r="N2058" s="8"/>
      <c r="O2058" s="8"/>
      <c r="P2058" s="8"/>
      <c r="Q2058" s="8"/>
    </row>
    <row r="2059" spans="9:17" s="1" customFormat="1" x14ac:dyDescent="0.25">
      <c r="I2059" s="8"/>
      <c r="K2059" s="8"/>
      <c r="L2059" s="8"/>
      <c r="M2059" s="8"/>
      <c r="N2059" s="8"/>
      <c r="O2059" s="8"/>
      <c r="P2059" s="8"/>
      <c r="Q2059" s="8"/>
    </row>
    <row r="2060" spans="9:17" s="1" customFormat="1" x14ac:dyDescent="0.25">
      <c r="I2060" s="8"/>
      <c r="K2060" s="8"/>
      <c r="L2060" s="8"/>
      <c r="M2060" s="8"/>
      <c r="N2060" s="8"/>
      <c r="O2060" s="8"/>
      <c r="P2060" s="8"/>
      <c r="Q2060" s="8"/>
    </row>
    <row r="2061" spans="9:17" s="1" customFormat="1" x14ac:dyDescent="0.25">
      <c r="I2061" s="8"/>
      <c r="K2061" s="8"/>
      <c r="L2061" s="8"/>
      <c r="M2061" s="8"/>
      <c r="N2061" s="8"/>
      <c r="O2061" s="8"/>
      <c r="P2061" s="8"/>
      <c r="Q2061" s="8"/>
    </row>
    <row r="2062" spans="9:17" s="1" customFormat="1" x14ac:dyDescent="0.25">
      <c r="I2062" s="8"/>
      <c r="K2062" s="8"/>
      <c r="L2062" s="8"/>
      <c r="M2062" s="8"/>
      <c r="N2062" s="8"/>
      <c r="O2062" s="8"/>
      <c r="P2062" s="8"/>
      <c r="Q2062" s="8"/>
    </row>
    <row r="2063" spans="9:17" s="1" customFormat="1" x14ac:dyDescent="0.25">
      <c r="I2063" s="8"/>
      <c r="K2063" s="8"/>
      <c r="L2063" s="8"/>
      <c r="M2063" s="8"/>
      <c r="N2063" s="8"/>
      <c r="O2063" s="8"/>
      <c r="P2063" s="8"/>
      <c r="Q2063" s="8"/>
    </row>
    <row r="2064" spans="9:17" s="1" customFormat="1" x14ac:dyDescent="0.25">
      <c r="I2064" s="8"/>
      <c r="K2064" s="8"/>
      <c r="L2064" s="8"/>
      <c r="M2064" s="8"/>
      <c r="N2064" s="8"/>
      <c r="O2064" s="8"/>
      <c r="P2064" s="8"/>
      <c r="Q2064" s="8"/>
    </row>
    <row r="2065" spans="9:17" s="1" customFormat="1" x14ac:dyDescent="0.25">
      <c r="I2065" s="8"/>
      <c r="K2065" s="8"/>
      <c r="L2065" s="8"/>
      <c r="M2065" s="8"/>
      <c r="N2065" s="8"/>
      <c r="O2065" s="8"/>
      <c r="P2065" s="8"/>
      <c r="Q2065" s="8"/>
    </row>
    <row r="2066" spans="9:17" s="1" customFormat="1" x14ac:dyDescent="0.25">
      <c r="I2066" s="8"/>
      <c r="K2066" s="8"/>
      <c r="L2066" s="8"/>
      <c r="M2066" s="8"/>
      <c r="N2066" s="8"/>
      <c r="O2066" s="8"/>
      <c r="P2066" s="8"/>
      <c r="Q2066" s="8"/>
    </row>
    <row r="2067" spans="9:17" s="1" customFormat="1" x14ac:dyDescent="0.25">
      <c r="I2067" s="8"/>
      <c r="K2067" s="8"/>
      <c r="L2067" s="8"/>
      <c r="M2067" s="8"/>
      <c r="N2067" s="8"/>
      <c r="O2067" s="8"/>
      <c r="P2067" s="8"/>
      <c r="Q2067" s="8"/>
    </row>
    <row r="2068" spans="9:17" s="1" customFormat="1" x14ac:dyDescent="0.25">
      <c r="I2068" s="8"/>
      <c r="K2068" s="8"/>
      <c r="L2068" s="8"/>
      <c r="M2068" s="8"/>
      <c r="N2068" s="8"/>
      <c r="O2068" s="8"/>
      <c r="P2068" s="8"/>
      <c r="Q2068" s="8"/>
    </row>
    <row r="2069" spans="9:17" s="1" customFormat="1" x14ac:dyDescent="0.25">
      <c r="I2069" s="8"/>
      <c r="K2069" s="8"/>
      <c r="L2069" s="8"/>
      <c r="M2069" s="8"/>
      <c r="N2069" s="8"/>
      <c r="O2069" s="8"/>
      <c r="P2069" s="8"/>
      <c r="Q2069" s="8"/>
    </row>
    <row r="2070" spans="9:17" s="1" customFormat="1" x14ac:dyDescent="0.25">
      <c r="I2070" s="8"/>
      <c r="K2070" s="8"/>
      <c r="L2070" s="8"/>
      <c r="M2070" s="8"/>
      <c r="N2070" s="8"/>
      <c r="O2070" s="8"/>
      <c r="P2070" s="8"/>
      <c r="Q2070" s="8"/>
    </row>
    <row r="2071" spans="9:17" s="1" customFormat="1" x14ac:dyDescent="0.25">
      <c r="I2071" s="8"/>
      <c r="K2071" s="8"/>
      <c r="L2071" s="8"/>
      <c r="M2071" s="8"/>
      <c r="N2071" s="8"/>
      <c r="O2071" s="8"/>
      <c r="P2071" s="8"/>
      <c r="Q2071" s="8"/>
    </row>
    <row r="2072" spans="9:17" s="1" customFormat="1" x14ac:dyDescent="0.25">
      <c r="I2072" s="8"/>
      <c r="K2072" s="8"/>
      <c r="L2072" s="8"/>
      <c r="M2072" s="8"/>
      <c r="N2072" s="8"/>
      <c r="O2072" s="8"/>
      <c r="P2072" s="8"/>
      <c r="Q2072" s="8"/>
    </row>
    <row r="2073" spans="9:17" s="1" customFormat="1" x14ac:dyDescent="0.25">
      <c r="I2073" s="8"/>
      <c r="K2073" s="8"/>
      <c r="L2073" s="8"/>
      <c r="M2073" s="8"/>
      <c r="N2073" s="8"/>
      <c r="O2073" s="8"/>
      <c r="P2073" s="8"/>
      <c r="Q2073" s="8"/>
    </row>
    <row r="2074" spans="9:17" s="1" customFormat="1" x14ac:dyDescent="0.25">
      <c r="I2074" s="8"/>
      <c r="K2074" s="8"/>
      <c r="L2074" s="8"/>
      <c r="M2074" s="8"/>
      <c r="N2074" s="8"/>
      <c r="O2074" s="8"/>
      <c r="P2074" s="8"/>
      <c r="Q2074" s="8"/>
    </row>
    <row r="2075" spans="9:17" s="1" customFormat="1" x14ac:dyDescent="0.25">
      <c r="I2075" s="8"/>
      <c r="K2075" s="8"/>
      <c r="L2075" s="8"/>
      <c r="M2075" s="8"/>
      <c r="N2075" s="8"/>
      <c r="O2075" s="8"/>
      <c r="P2075" s="8"/>
      <c r="Q2075" s="8"/>
    </row>
    <row r="2076" spans="9:17" s="1" customFormat="1" x14ac:dyDescent="0.25">
      <c r="I2076" s="8"/>
      <c r="K2076" s="8"/>
      <c r="L2076" s="8"/>
      <c r="M2076" s="8"/>
      <c r="N2076" s="8"/>
      <c r="O2076" s="8"/>
      <c r="P2076" s="8"/>
      <c r="Q2076" s="8"/>
    </row>
    <row r="2077" spans="9:17" s="1" customFormat="1" x14ac:dyDescent="0.25">
      <c r="I2077" s="8"/>
      <c r="K2077" s="8"/>
      <c r="L2077" s="8"/>
      <c r="M2077" s="8"/>
      <c r="N2077" s="8"/>
      <c r="O2077" s="8"/>
      <c r="P2077" s="8"/>
      <c r="Q2077" s="8"/>
    </row>
    <row r="2078" spans="9:17" s="1" customFormat="1" x14ac:dyDescent="0.25">
      <c r="I2078" s="8"/>
      <c r="K2078" s="8"/>
      <c r="L2078" s="8"/>
      <c r="M2078" s="8"/>
      <c r="N2078" s="8"/>
      <c r="O2078" s="8"/>
      <c r="P2078" s="8"/>
      <c r="Q2078" s="8"/>
    </row>
    <row r="2079" spans="9:17" s="1" customFormat="1" x14ac:dyDescent="0.25">
      <c r="I2079" s="8"/>
      <c r="K2079" s="8"/>
      <c r="L2079" s="8"/>
      <c r="M2079" s="8"/>
      <c r="N2079" s="8"/>
      <c r="O2079" s="8"/>
      <c r="P2079" s="8"/>
      <c r="Q2079" s="8"/>
    </row>
    <row r="2080" spans="9:17" s="1" customFormat="1" x14ac:dyDescent="0.25">
      <c r="I2080" s="8"/>
      <c r="K2080" s="8"/>
      <c r="L2080" s="8"/>
      <c r="M2080" s="8"/>
      <c r="N2080" s="8"/>
      <c r="O2080" s="8"/>
      <c r="P2080" s="8"/>
      <c r="Q2080" s="8"/>
    </row>
    <row r="2081" spans="9:17" s="1" customFormat="1" x14ac:dyDescent="0.25">
      <c r="I2081" s="8"/>
      <c r="K2081" s="8"/>
      <c r="L2081" s="8"/>
      <c r="M2081" s="8"/>
      <c r="N2081" s="8"/>
      <c r="O2081" s="8"/>
      <c r="P2081" s="8"/>
      <c r="Q2081" s="8"/>
    </row>
    <row r="2082" spans="9:17" s="1" customFormat="1" x14ac:dyDescent="0.25">
      <c r="I2082" s="8"/>
      <c r="K2082" s="8"/>
      <c r="L2082" s="8"/>
      <c r="M2082" s="8"/>
      <c r="N2082" s="8"/>
      <c r="O2082" s="8"/>
      <c r="P2082" s="8"/>
      <c r="Q2082" s="8"/>
    </row>
    <row r="2083" spans="9:17" s="1" customFormat="1" x14ac:dyDescent="0.25">
      <c r="I2083" s="8"/>
      <c r="K2083" s="8"/>
      <c r="L2083" s="8"/>
      <c r="M2083" s="8"/>
      <c r="N2083" s="8"/>
      <c r="O2083" s="8"/>
      <c r="P2083" s="8"/>
      <c r="Q2083" s="8"/>
    </row>
    <row r="2084" spans="9:17" s="1" customFormat="1" x14ac:dyDescent="0.25">
      <c r="I2084" s="8"/>
      <c r="K2084" s="8"/>
      <c r="L2084" s="8"/>
      <c r="M2084" s="8"/>
      <c r="N2084" s="8"/>
      <c r="O2084" s="8"/>
      <c r="P2084" s="8"/>
      <c r="Q2084" s="8"/>
    </row>
    <row r="2085" spans="9:17" s="1" customFormat="1" x14ac:dyDescent="0.25">
      <c r="I2085" s="8"/>
      <c r="K2085" s="8"/>
      <c r="L2085" s="8"/>
      <c r="M2085" s="8"/>
      <c r="N2085" s="8"/>
      <c r="O2085" s="8"/>
      <c r="P2085" s="8"/>
      <c r="Q2085" s="8"/>
    </row>
    <row r="2086" spans="9:17" s="1" customFormat="1" x14ac:dyDescent="0.25">
      <c r="I2086" s="8"/>
      <c r="K2086" s="8"/>
      <c r="L2086" s="8"/>
      <c r="M2086" s="8"/>
      <c r="N2086" s="8"/>
      <c r="O2086" s="8"/>
      <c r="P2086" s="8"/>
      <c r="Q2086" s="8"/>
    </row>
    <row r="2087" spans="9:17" s="1" customFormat="1" x14ac:dyDescent="0.25">
      <c r="I2087" s="8"/>
      <c r="K2087" s="8"/>
      <c r="L2087" s="8"/>
      <c r="M2087" s="8"/>
      <c r="N2087" s="8"/>
      <c r="O2087" s="8"/>
      <c r="P2087" s="8"/>
      <c r="Q2087" s="8"/>
    </row>
    <row r="2088" spans="9:17" s="1" customFormat="1" x14ac:dyDescent="0.25">
      <c r="I2088" s="8"/>
      <c r="K2088" s="8"/>
      <c r="L2088" s="8"/>
      <c r="M2088" s="8"/>
      <c r="N2088" s="8"/>
      <c r="O2088" s="8"/>
      <c r="P2088" s="8"/>
      <c r="Q2088" s="8"/>
    </row>
    <row r="2089" spans="9:17" s="1" customFormat="1" x14ac:dyDescent="0.25">
      <c r="I2089" s="8"/>
      <c r="K2089" s="8"/>
      <c r="L2089" s="8"/>
      <c r="M2089" s="8"/>
      <c r="N2089" s="8"/>
      <c r="O2089" s="8"/>
      <c r="P2089" s="8"/>
      <c r="Q2089" s="8"/>
    </row>
    <row r="2090" spans="9:17" s="1" customFormat="1" x14ac:dyDescent="0.25">
      <c r="I2090" s="8"/>
      <c r="K2090" s="8"/>
      <c r="L2090" s="8"/>
      <c r="M2090" s="8"/>
      <c r="N2090" s="8"/>
      <c r="O2090" s="8"/>
      <c r="P2090" s="8"/>
      <c r="Q2090" s="8"/>
    </row>
    <row r="2091" spans="9:17" s="1" customFormat="1" x14ac:dyDescent="0.25">
      <c r="I2091" s="8"/>
      <c r="K2091" s="8"/>
      <c r="L2091" s="8"/>
      <c r="M2091" s="8"/>
      <c r="N2091" s="8"/>
      <c r="O2091" s="8"/>
      <c r="P2091" s="8"/>
      <c r="Q2091" s="8"/>
    </row>
    <row r="2092" spans="9:17" s="1" customFormat="1" x14ac:dyDescent="0.25">
      <c r="I2092" s="8"/>
      <c r="K2092" s="8"/>
      <c r="L2092" s="8"/>
      <c r="M2092" s="8"/>
      <c r="N2092" s="8"/>
      <c r="O2092" s="8"/>
      <c r="P2092" s="8"/>
      <c r="Q2092" s="8"/>
    </row>
    <row r="2093" spans="9:17" s="1" customFormat="1" x14ac:dyDescent="0.25">
      <c r="I2093" s="8"/>
      <c r="K2093" s="8"/>
      <c r="L2093" s="8"/>
      <c r="M2093" s="8"/>
      <c r="N2093" s="8"/>
      <c r="O2093" s="8"/>
      <c r="P2093" s="8"/>
      <c r="Q2093" s="8"/>
    </row>
    <row r="2094" spans="9:17" s="1" customFormat="1" x14ac:dyDescent="0.25">
      <c r="I2094" s="8"/>
      <c r="K2094" s="8"/>
      <c r="L2094" s="8"/>
      <c r="M2094" s="8"/>
      <c r="N2094" s="8"/>
      <c r="O2094" s="8"/>
      <c r="P2094" s="8"/>
      <c r="Q2094" s="8"/>
    </row>
    <row r="2095" spans="9:17" s="1" customFormat="1" x14ac:dyDescent="0.25">
      <c r="I2095" s="8"/>
      <c r="K2095" s="8"/>
      <c r="L2095" s="8"/>
      <c r="M2095" s="8"/>
      <c r="N2095" s="8"/>
      <c r="O2095" s="8"/>
      <c r="P2095" s="8"/>
      <c r="Q2095" s="8"/>
    </row>
    <row r="2096" spans="9:17" s="1" customFormat="1" x14ac:dyDescent="0.25">
      <c r="I2096" s="8"/>
      <c r="K2096" s="8"/>
      <c r="L2096" s="8"/>
      <c r="M2096" s="8"/>
      <c r="N2096" s="8"/>
      <c r="O2096" s="8"/>
      <c r="P2096" s="8"/>
      <c r="Q2096" s="8"/>
    </row>
    <row r="2097" spans="9:17" s="1" customFormat="1" x14ac:dyDescent="0.25">
      <c r="I2097" s="8"/>
      <c r="K2097" s="8"/>
      <c r="L2097" s="8"/>
      <c r="M2097" s="8"/>
      <c r="N2097" s="8"/>
      <c r="O2097" s="8"/>
      <c r="P2097" s="8"/>
      <c r="Q2097" s="8"/>
    </row>
    <row r="2098" spans="9:17" s="1" customFormat="1" x14ac:dyDescent="0.25">
      <c r="I2098" s="8"/>
      <c r="K2098" s="8"/>
      <c r="L2098" s="8"/>
      <c r="M2098" s="8"/>
      <c r="N2098" s="8"/>
      <c r="O2098" s="8"/>
      <c r="P2098" s="8"/>
      <c r="Q2098" s="8"/>
    </row>
    <row r="2099" spans="9:17" s="1" customFormat="1" x14ac:dyDescent="0.25">
      <c r="I2099" s="8"/>
      <c r="K2099" s="8"/>
      <c r="L2099" s="8"/>
      <c r="M2099" s="8"/>
      <c r="N2099" s="8"/>
      <c r="O2099" s="8"/>
      <c r="P2099" s="8"/>
      <c r="Q2099" s="8"/>
    </row>
    <row r="2100" spans="9:17" s="1" customFormat="1" x14ac:dyDescent="0.25">
      <c r="I2100" s="8"/>
      <c r="K2100" s="8"/>
      <c r="L2100" s="8"/>
      <c r="M2100" s="8"/>
      <c r="N2100" s="8"/>
      <c r="O2100" s="8"/>
      <c r="P2100" s="8"/>
      <c r="Q2100" s="8"/>
    </row>
    <row r="2101" spans="9:17" s="1" customFormat="1" x14ac:dyDescent="0.25">
      <c r="I2101" s="8"/>
      <c r="K2101" s="8"/>
      <c r="L2101" s="8"/>
      <c r="M2101" s="8"/>
      <c r="N2101" s="8"/>
      <c r="O2101" s="8"/>
      <c r="P2101" s="8"/>
      <c r="Q2101" s="8"/>
    </row>
    <row r="2102" spans="9:17" s="1" customFormat="1" x14ac:dyDescent="0.25">
      <c r="I2102" s="8"/>
      <c r="K2102" s="8"/>
      <c r="L2102" s="8"/>
      <c r="M2102" s="8"/>
      <c r="N2102" s="8"/>
      <c r="O2102" s="8"/>
      <c r="P2102" s="8"/>
      <c r="Q2102" s="8"/>
    </row>
    <row r="2103" spans="9:17" s="1" customFormat="1" x14ac:dyDescent="0.25">
      <c r="I2103" s="8"/>
      <c r="K2103" s="8"/>
      <c r="L2103" s="8"/>
      <c r="M2103" s="8"/>
      <c r="N2103" s="8"/>
      <c r="O2103" s="8"/>
      <c r="P2103" s="8"/>
      <c r="Q2103" s="8"/>
    </row>
    <row r="2104" spans="9:17" s="1" customFormat="1" x14ac:dyDescent="0.25">
      <c r="I2104" s="8"/>
      <c r="K2104" s="8"/>
      <c r="L2104" s="8"/>
      <c r="M2104" s="8"/>
      <c r="N2104" s="8"/>
      <c r="O2104" s="8"/>
      <c r="P2104" s="8"/>
      <c r="Q2104" s="8"/>
    </row>
    <row r="2105" spans="9:17" s="1" customFormat="1" x14ac:dyDescent="0.25">
      <c r="I2105" s="8"/>
      <c r="K2105" s="8"/>
      <c r="L2105" s="8"/>
      <c r="M2105" s="8"/>
      <c r="N2105" s="8"/>
      <c r="O2105" s="8"/>
      <c r="P2105" s="8"/>
      <c r="Q2105" s="8"/>
    </row>
    <row r="2106" spans="9:17" s="1" customFormat="1" x14ac:dyDescent="0.25">
      <c r="I2106" s="8"/>
      <c r="K2106" s="8"/>
      <c r="L2106" s="8"/>
      <c r="M2106" s="8"/>
      <c r="N2106" s="8"/>
      <c r="O2106" s="8"/>
      <c r="P2106" s="8"/>
      <c r="Q2106" s="8"/>
    </row>
    <row r="2107" spans="9:17" s="1" customFormat="1" x14ac:dyDescent="0.25">
      <c r="I2107" s="8"/>
      <c r="K2107" s="8"/>
      <c r="L2107" s="8"/>
      <c r="M2107" s="8"/>
      <c r="N2107" s="8"/>
      <c r="O2107" s="8"/>
      <c r="P2107" s="8"/>
      <c r="Q2107" s="8"/>
    </row>
    <row r="2108" spans="9:17" s="1" customFormat="1" x14ac:dyDescent="0.25">
      <c r="I2108" s="8"/>
      <c r="K2108" s="8"/>
      <c r="L2108" s="8"/>
      <c r="M2108" s="8"/>
      <c r="N2108" s="8"/>
      <c r="O2108" s="8"/>
      <c r="P2108" s="8"/>
      <c r="Q2108" s="8"/>
    </row>
    <row r="2109" spans="9:17" s="1" customFormat="1" x14ac:dyDescent="0.25">
      <c r="I2109" s="8"/>
      <c r="K2109" s="8"/>
      <c r="L2109" s="8"/>
      <c r="M2109" s="8"/>
      <c r="N2109" s="8"/>
      <c r="O2109" s="8"/>
      <c r="P2109" s="8"/>
      <c r="Q2109" s="8"/>
    </row>
    <row r="2110" spans="9:17" s="1" customFormat="1" x14ac:dyDescent="0.25">
      <c r="I2110" s="8"/>
      <c r="K2110" s="8"/>
      <c r="L2110" s="8"/>
      <c r="M2110" s="8"/>
      <c r="N2110" s="8"/>
      <c r="O2110" s="8"/>
      <c r="P2110" s="8"/>
      <c r="Q2110" s="8"/>
    </row>
    <row r="2111" spans="9:17" s="1" customFormat="1" x14ac:dyDescent="0.25">
      <c r="I2111" s="8"/>
      <c r="K2111" s="8"/>
      <c r="L2111" s="8"/>
      <c r="M2111" s="8"/>
      <c r="N2111" s="8"/>
      <c r="O2111" s="8"/>
      <c r="P2111" s="8"/>
      <c r="Q2111" s="8"/>
    </row>
    <row r="2112" spans="9:17" s="1" customFormat="1" x14ac:dyDescent="0.25">
      <c r="I2112" s="8"/>
      <c r="K2112" s="8"/>
      <c r="L2112" s="8"/>
      <c r="M2112" s="8"/>
      <c r="N2112" s="8"/>
      <c r="O2112" s="8"/>
      <c r="P2112" s="8"/>
      <c r="Q2112" s="8"/>
    </row>
    <row r="2113" spans="9:17" s="1" customFormat="1" x14ac:dyDescent="0.25">
      <c r="I2113" s="8"/>
      <c r="K2113" s="8"/>
      <c r="L2113" s="8"/>
      <c r="M2113" s="8"/>
      <c r="N2113" s="8"/>
      <c r="O2113" s="8"/>
      <c r="P2113" s="8"/>
      <c r="Q2113" s="8"/>
    </row>
    <row r="2114" spans="9:17" s="1" customFormat="1" x14ac:dyDescent="0.25">
      <c r="I2114" s="8"/>
      <c r="K2114" s="8"/>
      <c r="L2114" s="8"/>
      <c r="M2114" s="8"/>
      <c r="N2114" s="8"/>
      <c r="O2114" s="8"/>
      <c r="P2114" s="8"/>
      <c r="Q2114" s="8"/>
    </row>
    <row r="2115" spans="9:17" s="1" customFormat="1" x14ac:dyDescent="0.25">
      <c r="I2115" s="8"/>
      <c r="K2115" s="8"/>
      <c r="L2115" s="8"/>
      <c r="M2115" s="8"/>
      <c r="N2115" s="8"/>
      <c r="O2115" s="8"/>
      <c r="P2115" s="8"/>
      <c r="Q2115" s="8"/>
    </row>
    <row r="2116" spans="9:17" s="1" customFormat="1" x14ac:dyDescent="0.25">
      <c r="I2116" s="8"/>
      <c r="K2116" s="8"/>
      <c r="L2116" s="8"/>
      <c r="M2116" s="8"/>
      <c r="N2116" s="8"/>
      <c r="O2116" s="8"/>
      <c r="P2116" s="8"/>
      <c r="Q2116" s="8"/>
    </row>
    <row r="2117" spans="9:17" s="1" customFormat="1" x14ac:dyDescent="0.25">
      <c r="I2117" s="8"/>
      <c r="K2117" s="8"/>
      <c r="L2117" s="8"/>
      <c r="M2117" s="8"/>
      <c r="N2117" s="8"/>
      <c r="O2117" s="8"/>
      <c r="P2117" s="8"/>
      <c r="Q2117" s="8"/>
    </row>
    <row r="2118" spans="9:17" s="1" customFormat="1" x14ac:dyDescent="0.25">
      <c r="I2118" s="8"/>
      <c r="K2118" s="8"/>
      <c r="L2118" s="8"/>
      <c r="M2118" s="8"/>
      <c r="N2118" s="8"/>
      <c r="O2118" s="8"/>
      <c r="P2118" s="8"/>
      <c r="Q2118" s="8"/>
    </row>
    <row r="2119" spans="9:17" s="1" customFormat="1" x14ac:dyDescent="0.25">
      <c r="I2119" s="8"/>
      <c r="K2119" s="8"/>
      <c r="L2119" s="8"/>
      <c r="M2119" s="8"/>
      <c r="N2119" s="8"/>
      <c r="O2119" s="8"/>
      <c r="P2119" s="8"/>
      <c r="Q2119" s="8"/>
    </row>
    <row r="2120" spans="9:17" s="1" customFormat="1" x14ac:dyDescent="0.25">
      <c r="I2120" s="8"/>
      <c r="K2120" s="8"/>
      <c r="L2120" s="8"/>
      <c r="M2120" s="8"/>
      <c r="N2120" s="8"/>
      <c r="O2120" s="8"/>
      <c r="P2120" s="8"/>
      <c r="Q2120" s="8"/>
    </row>
    <row r="2121" spans="9:17" s="1" customFormat="1" x14ac:dyDescent="0.25">
      <c r="I2121" s="8"/>
      <c r="K2121" s="8"/>
      <c r="L2121" s="8"/>
      <c r="M2121" s="8"/>
      <c r="N2121" s="8"/>
      <c r="O2121" s="8"/>
      <c r="P2121" s="8"/>
      <c r="Q2121" s="8"/>
    </row>
    <row r="2122" spans="9:17" s="1" customFormat="1" x14ac:dyDescent="0.25">
      <c r="I2122" s="8"/>
      <c r="K2122" s="8"/>
      <c r="L2122" s="8"/>
      <c r="M2122" s="8"/>
      <c r="N2122" s="8"/>
      <c r="O2122" s="8"/>
      <c r="P2122" s="8"/>
      <c r="Q2122" s="8"/>
    </row>
    <row r="2123" spans="9:17" s="1" customFormat="1" x14ac:dyDescent="0.25">
      <c r="I2123" s="8"/>
      <c r="K2123" s="8"/>
      <c r="L2123" s="8"/>
      <c r="M2123" s="8"/>
      <c r="N2123" s="8"/>
      <c r="O2123" s="8"/>
      <c r="P2123" s="8"/>
      <c r="Q2123" s="8"/>
    </row>
    <row r="2124" spans="9:17" s="1" customFormat="1" x14ac:dyDescent="0.25">
      <c r="I2124" s="8"/>
      <c r="K2124" s="8"/>
      <c r="L2124" s="8"/>
      <c r="M2124" s="8"/>
      <c r="N2124" s="8"/>
      <c r="O2124" s="8"/>
      <c r="P2124" s="8"/>
      <c r="Q2124" s="8"/>
    </row>
    <row r="2125" spans="9:17" s="1" customFormat="1" x14ac:dyDescent="0.25">
      <c r="I2125" s="8"/>
      <c r="K2125" s="8"/>
      <c r="L2125" s="8"/>
      <c r="M2125" s="8"/>
      <c r="N2125" s="8"/>
      <c r="O2125" s="8"/>
      <c r="P2125" s="8"/>
      <c r="Q2125" s="8"/>
    </row>
    <row r="2126" spans="9:17" s="1" customFormat="1" x14ac:dyDescent="0.25">
      <c r="I2126" s="8"/>
      <c r="K2126" s="8"/>
      <c r="L2126" s="8"/>
      <c r="M2126" s="8"/>
      <c r="N2126" s="8"/>
      <c r="O2126" s="8"/>
      <c r="P2126" s="8"/>
      <c r="Q2126" s="8"/>
    </row>
    <row r="2127" spans="9:17" s="1" customFormat="1" x14ac:dyDescent="0.25">
      <c r="I2127" s="8"/>
      <c r="K2127" s="8"/>
      <c r="L2127" s="8"/>
      <c r="M2127" s="8"/>
      <c r="N2127" s="8"/>
      <c r="O2127" s="8"/>
      <c r="P2127" s="8"/>
      <c r="Q2127" s="8"/>
    </row>
    <row r="2128" spans="9:17" s="1" customFormat="1" x14ac:dyDescent="0.25">
      <c r="I2128" s="8"/>
      <c r="K2128" s="8"/>
      <c r="L2128" s="8"/>
      <c r="M2128" s="8"/>
      <c r="N2128" s="8"/>
      <c r="O2128" s="8"/>
      <c r="P2128" s="8"/>
      <c r="Q2128" s="8"/>
    </row>
    <row r="2129" spans="9:17" s="1" customFormat="1" x14ac:dyDescent="0.25">
      <c r="I2129" s="8"/>
      <c r="K2129" s="8"/>
      <c r="L2129" s="8"/>
      <c r="M2129" s="8"/>
      <c r="N2129" s="8"/>
      <c r="O2129" s="8"/>
      <c r="P2129" s="8"/>
      <c r="Q2129" s="8"/>
    </row>
    <row r="2130" spans="9:17" s="1" customFormat="1" x14ac:dyDescent="0.25">
      <c r="I2130" s="8"/>
      <c r="K2130" s="8"/>
      <c r="L2130" s="8"/>
      <c r="M2130" s="8"/>
      <c r="N2130" s="8"/>
      <c r="O2130" s="8"/>
      <c r="P2130" s="8"/>
      <c r="Q2130" s="8"/>
    </row>
    <row r="2131" spans="9:17" s="1" customFormat="1" x14ac:dyDescent="0.25">
      <c r="I2131" s="8"/>
      <c r="K2131" s="8"/>
      <c r="L2131" s="8"/>
      <c r="M2131" s="8"/>
      <c r="N2131" s="8"/>
      <c r="O2131" s="8"/>
      <c r="P2131" s="8"/>
      <c r="Q2131" s="8"/>
    </row>
    <row r="2132" spans="9:17" s="1" customFormat="1" x14ac:dyDescent="0.25">
      <c r="I2132" s="8"/>
      <c r="K2132" s="8"/>
      <c r="L2132" s="8"/>
      <c r="M2132" s="8"/>
      <c r="N2132" s="8"/>
      <c r="O2132" s="8"/>
      <c r="P2132" s="8"/>
      <c r="Q2132" s="8"/>
    </row>
    <row r="2133" spans="9:17" s="1" customFormat="1" x14ac:dyDescent="0.25">
      <c r="I2133" s="8"/>
      <c r="K2133" s="8"/>
      <c r="L2133" s="8"/>
      <c r="M2133" s="8"/>
      <c r="N2133" s="8"/>
      <c r="O2133" s="8"/>
      <c r="P2133" s="8"/>
      <c r="Q2133" s="8"/>
    </row>
    <row r="2134" spans="9:17" s="1" customFormat="1" x14ac:dyDescent="0.25">
      <c r="I2134" s="8"/>
      <c r="K2134" s="8"/>
      <c r="L2134" s="8"/>
      <c r="M2134" s="8"/>
      <c r="N2134" s="8"/>
      <c r="O2134" s="8"/>
      <c r="P2134" s="8"/>
      <c r="Q2134" s="8"/>
    </row>
    <row r="2135" spans="9:17" s="1" customFormat="1" x14ac:dyDescent="0.25">
      <c r="I2135" s="8"/>
      <c r="K2135" s="8"/>
      <c r="L2135" s="8"/>
      <c r="M2135" s="8"/>
      <c r="N2135" s="8"/>
      <c r="O2135" s="8"/>
      <c r="P2135" s="8"/>
      <c r="Q2135" s="8"/>
    </row>
    <row r="2136" spans="9:17" s="1" customFormat="1" x14ac:dyDescent="0.25">
      <c r="I2136" s="8"/>
      <c r="K2136" s="8"/>
      <c r="L2136" s="8"/>
      <c r="M2136" s="8"/>
      <c r="N2136" s="8"/>
      <c r="O2136" s="8"/>
      <c r="P2136" s="8"/>
      <c r="Q2136" s="8"/>
    </row>
    <row r="2137" spans="9:17" s="1" customFormat="1" x14ac:dyDescent="0.25">
      <c r="I2137" s="8"/>
      <c r="K2137" s="8"/>
      <c r="L2137" s="8"/>
      <c r="M2137" s="8"/>
      <c r="N2137" s="8"/>
      <c r="O2137" s="8"/>
      <c r="P2137" s="8"/>
      <c r="Q2137" s="8"/>
    </row>
    <row r="2138" spans="9:17" s="1" customFormat="1" x14ac:dyDescent="0.25">
      <c r="I2138" s="8"/>
      <c r="K2138" s="8"/>
      <c r="L2138" s="8"/>
      <c r="M2138" s="8"/>
      <c r="N2138" s="8"/>
      <c r="O2138" s="8"/>
      <c r="P2138" s="8"/>
      <c r="Q2138" s="8"/>
    </row>
    <row r="2139" spans="9:17" s="1" customFormat="1" x14ac:dyDescent="0.25">
      <c r="I2139" s="8"/>
      <c r="K2139" s="8"/>
      <c r="L2139" s="8"/>
      <c r="M2139" s="8"/>
      <c r="N2139" s="8"/>
      <c r="O2139" s="8"/>
      <c r="P2139" s="8"/>
      <c r="Q2139" s="8"/>
    </row>
    <row r="2140" spans="9:17" s="1" customFormat="1" x14ac:dyDescent="0.25">
      <c r="I2140" s="8"/>
      <c r="K2140" s="8"/>
      <c r="L2140" s="8"/>
      <c r="M2140" s="8"/>
      <c r="N2140" s="8"/>
      <c r="O2140" s="8"/>
      <c r="P2140" s="8"/>
      <c r="Q2140" s="8"/>
    </row>
    <row r="2141" spans="9:17" s="1" customFormat="1" x14ac:dyDescent="0.25">
      <c r="I2141" s="8"/>
      <c r="K2141" s="8"/>
      <c r="L2141" s="8"/>
      <c r="M2141" s="8"/>
      <c r="N2141" s="8"/>
      <c r="O2141" s="8"/>
      <c r="P2141" s="8"/>
      <c r="Q2141" s="8"/>
    </row>
    <row r="2142" spans="9:17" s="1" customFormat="1" x14ac:dyDescent="0.25">
      <c r="I2142" s="8"/>
      <c r="K2142" s="8"/>
      <c r="L2142" s="8"/>
      <c r="M2142" s="8"/>
      <c r="N2142" s="8"/>
      <c r="O2142" s="8"/>
      <c r="P2142" s="8"/>
      <c r="Q2142" s="8"/>
    </row>
    <row r="2143" spans="9:17" s="1" customFormat="1" x14ac:dyDescent="0.25">
      <c r="I2143" s="8"/>
      <c r="K2143" s="8"/>
      <c r="L2143" s="8"/>
      <c r="M2143" s="8"/>
      <c r="N2143" s="8"/>
      <c r="O2143" s="8"/>
      <c r="P2143" s="8"/>
      <c r="Q2143" s="8"/>
    </row>
    <row r="2144" spans="9:17" s="1" customFormat="1" x14ac:dyDescent="0.25">
      <c r="I2144" s="8"/>
      <c r="K2144" s="8"/>
      <c r="L2144" s="8"/>
      <c r="M2144" s="8"/>
      <c r="N2144" s="8"/>
      <c r="O2144" s="8"/>
      <c r="P2144" s="8"/>
      <c r="Q2144" s="8"/>
    </row>
    <row r="2145" spans="9:17" s="1" customFormat="1" x14ac:dyDescent="0.25">
      <c r="I2145" s="8"/>
      <c r="K2145" s="8"/>
      <c r="L2145" s="8"/>
      <c r="M2145" s="8"/>
      <c r="N2145" s="8"/>
      <c r="O2145" s="8"/>
      <c r="P2145" s="8"/>
      <c r="Q2145" s="8"/>
    </row>
    <row r="2146" spans="9:17" s="1" customFormat="1" x14ac:dyDescent="0.25">
      <c r="I2146" s="8"/>
      <c r="K2146" s="8"/>
      <c r="L2146" s="8"/>
      <c r="M2146" s="8"/>
      <c r="N2146" s="8"/>
      <c r="O2146" s="8"/>
      <c r="P2146" s="8"/>
      <c r="Q2146" s="8"/>
    </row>
    <row r="2147" spans="9:17" s="1" customFormat="1" x14ac:dyDescent="0.25">
      <c r="I2147" s="8"/>
      <c r="K2147" s="8"/>
      <c r="L2147" s="8"/>
      <c r="M2147" s="8"/>
      <c r="N2147" s="8"/>
      <c r="O2147" s="8"/>
      <c r="P2147" s="8"/>
      <c r="Q2147" s="8"/>
    </row>
    <row r="2148" spans="9:17" s="1" customFormat="1" x14ac:dyDescent="0.25">
      <c r="I2148" s="8"/>
      <c r="K2148" s="8"/>
      <c r="L2148" s="8"/>
      <c r="M2148" s="8"/>
      <c r="N2148" s="8"/>
      <c r="O2148" s="8"/>
      <c r="P2148" s="8"/>
      <c r="Q2148" s="8"/>
    </row>
    <row r="2149" spans="9:17" s="1" customFormat="1" x14ac:dyDescent="0.25">
      <c r="I2149" s="8"/>
      <c r="K2149" s="8"/>
      <c r="L2149" s="8"/>
      <c r="M2149" s="8"/>
      <c r="N2149" s="8"/>
      <c r="O2149" s="8"/>
      <c r="P2149" s="8"/>
      <c r="Q2149" s="8"/>
    </row>
    <row r="2150" spans="9:17" s="1" customFormat="1" x14ac:dyDescent="0.25">
      <c r="I2150" s="8"/>
      <c r="K2150" s="8"/>
      <c r="L2150" s="8"/>
      <c r="M2150" s="8"/>
      <c r="N2150" s="8"/>
      <c r="O2150" s="8"/>
      <c r="P2150" s="8"/>
      <c r="Q2150" s="8"/>
    </row>
    <row r="2151" spans="9:17" s="1" customFormat="1" x14ac:dyDescent="0.25">
      <c r="I2151" s="8"/>
      <c r="K2151" s="8"/>
      <c r="L2151" s="8"/>
      <c r="M2151" s="8"/>
      <c r="N2151" s="8"/>
      <c r="O2151" s="8"/>
      <c r="P2151" s="8"/>
      <c r="Q2151" s="8"/>
    </row>
    <row r="2152" spans="9:17" s="1" customFormat="1" x14ac:dyDescent="0.25">
      <c r="I2152" s="8"/>
      <c r="K2152" s="8"/>
      <c r="L2152" s="8"/>
      <c r="M2152" s="8"/>
      <c r="N2152" s="8"/>
      <c r="O2152" s="8"/>
      <c r="P2152" s="8"/>
      <c r="Q2152" s="8"/>
    </row>
    <row r="2153" spans="9:17" s="1" customFormat="1" x14ac:dyDescent="0.25">
      <c r="I2153" s="8"/>
      <c r="K2153" s="8"/>
      <c r="L2153" s="8"/>
      <c r="M2153" s="8"/>
      <c r="N2153" s="8"/>
      <c r="O2153" s="8"/>
      <c r="P2153" s="8"/>
      <c r="Q2153" s="8"/>
    </row>
    <row r="2154" spans="9:17" s="1" customFormat="1" x14ac:dyDescent="0.25">
      <c r="I2154" s="8"/>
      <c r="K2154" s="8"/>
      <c r="L2154" s="8"/>
      <c r="M2154" s="8"/>
      <c r="N2154" s="8"/>
      <c r="O2154" s="8"/>
      <c r="P2154" s="8"/>
      <c r="Q2154" s="8"/>
    </row>
    <row r="2155" spans="9:17" s="1" customFormat="1" x14ac:dyDescent="0.25">
      <c r="I2155" s="8"/>
      <c r="K2155" s="8"/>
      <c r="L2155" s="8"/>
      <c r="M2155" s="8"/>
      <c r="N2155" s="8"/>
      <c r="O2155" s="8"/>
      <c r="P2155" s="8"/>
      <c r="Q2155" s="8"/>
    </row>
    <row r="2156" spans="9:17" s="1" customFormat="1" x14ac:dyDescent="0.25">
      <c r="I2156" s="8"/>
      <c r="K2156" s="8"/>
      <c r="L2156" s="8"/>
      <c r="M2156" s="8"/>
      <c r="N2156" s="8"/>
      <c r="O2156" s="8"/>
      <c r="P2156" s="8"/>
      <c r="Q2156" s="8"/>
    </row>
    <row r="2157" spans="9:17" s="1" customFormat="1" x14ac:dyDescent="0.25">
      <c r="I2157" s="8"/>
      <c r="K2157" s="8"/>
      <c r="L2157" s="8"/>
      <c r="M2157" s="8"/>
      <c r="N2157" s="8"/>
      <c r="O2157" s="8"/>
      <c r="P2157" s="8"/>
      <c r="Q2157" s="8"/>
    </row>
    <row r="2158" spans="9:17" s="1" customFormat="1" x14ac:dyDescent="0.25">
      <c r="I2158" s="8"/>
      <c r="K2158" s="8"/>
      <c r="L2158" s="8"/>
      <c r="M2158" s="8"/>
      <c r="N2158" s="8"/>
      <c r="O2158" s="8"/>
      <c r="P2158" s="8"/>
      <c r="Q2158" s="8"/>
    </row>
    <row r="2159" spans="9:17" s="1" customFormat="1" x14ac:dyDescent="0.25">
      <c r="I2159" s="8"/>
      <c r="K2159" s="8"/>
      <c r="L2159" s="8"/>
      <c r="M2159" s="8"/>
      <c r="N2159" s="8"/>
      <c r="O2159" s="8"/>
      <c r="P2159" s="8"/>
      <c r="Q2159" s="8"/>
    </row>
    <row r="2160" spans="9:17" s="1" customFormat="1" x14ac:dyDescent="0.25">
      <c r="I2160" s="8"/>
      <c r="K2160" s="8"/>
      <c r="L2160" s="8"/>
      <c r="M2160" s="8"/>
      <c r="N2160" s="8"/>
      <c r="O2160" s="8"/>
      <c r="P2160" s="8"/>
      <c r="Q2160" s="8"/>
    </row>
    <row r="2161" spans="9:17" s="1" customFormat="1" x14ac:dyDescent="0.25">
      <c r="I2161" s="8"/>
      <c r="K2161" s="8"/>
      <c r="L2161" s="8"/>
      <c r="M2161" s="8"/>
      <c r="N2161" s="8"/>
      <c r="O2161" s="8"/>
      <c r="P2161" s="8"/>
      <c r="Q2161" s="8"/>
    </row>
    <row r="2162" spans="9:17" s="1" customFormat="1" x14ac:dyDescent="0.25">
      <c r="I2162" s="8"/>
      <c r="K2162" s="8"/>
      <c r="L2162" s="8"/>
      <c r="M2162" s="8"/>
      <c r="N2162" s="8"/>
      <c r="O2162" s="8"/>
      <c r="P2162" s="8"/>
      <c r="Q2162" s="8"/>
    </row>
    <row r="2163" spans="9:17" s="1" customFormat="1" x14ac:dyDescent="0.25">
      <c r="I2163" s="8"/>
      <c r="K2163" s="8"/>
      <c r="L2163" s="8"/>
      <c r="M2163" s="8"/>
      <c r="N2163" s="8"/>
      <c r="O2163" s="8"/>
      <c r="P2163" s="8"/>
      <c r="Q2163" s="8"/>
    </row>
    <row r="2164" spans="9:17" s="1" customFormat="1" x14ac:dyDescent="0.25">
      <c r="I2164" s="8"/>
      <c r="K2164" s="8"/>
      <c r="L2164" s="8"/>
      <c r="M2164" s="8"/>
      <c r="N2164" s="8"/>
      <c r="O2164" s="8"/>
      <c r="P2164" s="8"/>
      <c r="Q2164" s="8"/>
    </row>
    <row r="2165" spans="9:17" s="1" customFormat="1" x14ac:dyDescent="0.25">
      <c r="I2165" s="8"/>
      <c r="K2165" s="8"/>
      <c r="L2165" s="8"/>
      <c r="M2165" s="8"/>
      <c r="N2165" s="8"/>
      <c r="O2165" s="8"/>
      <c r="P2165" s="8"/>
      <c r="Q2165" s="8"/>
    </row>
    <row r="2166" spans="9:17" s="1" customFormat="1" x14ac:dyDescent="0.25">
      <c r="I2166" s="8"/>
      <c r="K2166" s="8"/>
      <c r="L2166" s="8"/>
      <c r="M2166" s="8"/>
      <c r="N2166" s="8"/>
      <c r="O2166" s="8"/>
      <c r="P2166" s="8"/>
      <c r="Q2166" s="8"/>
    </row>
    <row r="2167" spans="9:17" s="1" customFormat="1" x14ac:dyDescent="0.25">
      <c r="I2167" s="8"/>
      <c r="K2167" s="8"/>
      <c r="L2167" s="8"/>
      <c r="M2167" s="8"/>
      <c r="N2167" s="8"/>
      <c r="O2167" s="8"/>
      <c r="P2167" s="8"/>
      <c r="Q2167" s="8"/>
    </row>
    <row r="2168" spans="9:17" s="1" customFormat="1" x14ac:dyDescent="0.25">
      <c r="I2168" s="8"/>
      <c r="K2168" s="8"/>
      <c r="L2168" s="8"/>
      <c r="M2168" s="8"/>
      <c r="N2168" s="8"/>
      <c r="O2168" s="8"/>
      <c r="P2168" s="8"/>
      <c r="Q2168" s="8"/>
    </row>
    <row r="2169" spans="9:17" s="1" customFormat="1" x14ac:dyDescent="0.25">
      <c r="I2169" s="8"/>
      <c r="K2169" s="8"/>
      <c r="L2169" s="8"/>
      <c r="M2169" s="8"/>
      <c r="N2169" s="8"/>
      <c r="O2169" s="8"/>
      <c r="P2169" s="8"/>
      <c r="Q2169" s="8"/>
    </row>
    <row r="2170" spans="9:17" s="1" customFormat="1" x14ac:dyDescent="0.25">
      <c r="I2170" s="8"/>
      <c r="K2170" s="8"/>
      <c r="L2170" s="8"/>
      <c r="M2170" s="8"/>
      <c r="N2170" s="8"/>
      <c r="O2170" s="8"/>
      <c r="P2170" s="8"/>
      <c r="Q2170" s="8"/>
    </row>
    <row r="2171" spans="9:17" s="1" customFormat="1" x14ac:dyDescent="0.25">
      <c r="I2171" s="8"/>
      <c r="K2171" s="8"/>
      <c r="L2171" s="8"/>
      <c r="M2171" s="8"/>
      <c r="N2171" s="8"/>
      <c r="O2171" s="8"/>
      <c r="P2171" s="8"/>
      <c r="Q2171" s="8"/>
    </row>
    <row r="2172" spans="9:17" s="1" customFormat="1" x14ac:dyDescent="0.25">
      <c r="I2172" s="8"/>
      <c r="K2172" s="8"/>
      <c r="L2172" s="8"/>
      <c r="M2172" s="8"/>
      <c r="N2172" s="8"/>
      <c r="O2172" s="8"/>
      <c r="P2172" s="8"/>
      <c r="Q2172" s="8"/>
    </row>
    <row r="2173" spans="9:17" s="1" customFormat="1" x14ac:dyDescent="0.25">
      <c r="I2173" s="8"/>
      <c r="K2173" s="8"/>
      <c r="L2173" s="8"/>
      <c r="M2173" s="8"/>
      <c r="N2173" s="8"/>
      <c r="O2173" s="8"/>
      <c r="P2173" s="8"/>
      <c r="Q2173" s="8"/>
    </row>
    <row r="2174" spans="9:17" s="1" customFormat="1" x14ac:dyDescent="0.25">
      <c r="I2174" s="8"/>
      <c r="K2174" s="8"/>
      <c r="L2174" s="8"/>
      <c r="M2174" s="8"/>
      <c r="N2174" s="8"/>
      <c r="O2174" s="8"/>
      <c r="P2174" s="8"/>
      <c r="Q2174" s="8"/>
    </row>
    <row r="2175" spans="9:17" s="1" customFormat="1" x14ac:dyDescent="0.25">
      <c r="I2175" s="8"/>
      <c r="K2175" s="8"/>
      <c r="L2175" s="8"/>
      <c r="M2175" s="8"/>
      <c r="N2175" s="8"/>
      <c r="O2175" s="8"/>
      <c r="P2175" s="8"/>
      <c r="Q2175" s="8"/>
    </row>
    <row r="2176" spans="9:17" s="1" customFormat="1" x14ac:dyDescent="0.25">
      <c r="I2176" s="8"/>
      <c r="K2176" s="8"/>
      <c r="L2176" s="8"/>
      <c r="M2176" s="8"/>
      <c r="N2176" s="8"/>
      <c r="O2176" s="8"/>
      <c r="P2176" s="8"/>
      <c r="Q2176" s="8"/>
    </row>
    <row r="2177" spans="9:17" s="1" customFormat="1" x14ac:dyDescent="0.25">
      <c r="I2177" s="8"/>
      <c r="K2177" s="8"/>
      <c r="L2177" s="8"/>
      <c r="M2177" s="8"/>
      <c r="N2177" s="8"/>
      <c r="O2177" s="8"/>
      <c r="P2177" s="8"/>
      <c r="Q2177" s="8"/>
    </row>
    <row r="2178" spans="9:17" s="1" customFormat="1" x14ac:dyDescent="0.25">
      <c r="I2178" s="8"/>
      <c r="K2178" s="8"/>
      <c r="L2178" s="8"/>
      <c r="M2178" s="8"/>
      <c r="N2178" s="8"/>
      <c r="O2178" s="8"/>
      <c r="P2178" s="8"/>
      <c r="Q2178" s="8"/>
    </row>
    <row r="2179" spans="9:17" s="1" customFormat="1" x14ac:dyDescent="0.25">
      <c r="I2179" s="8"/>
      <c r="K2179" s="8"/>
      <c r="L2179" s="8"/>
      <c r="M2179" s="8"/>
      <c r="N2179" s="8"/>
      <c r="O2179" s="8"/>
      <c r="P2179" s="8"/>
      <c r="Q2179" s="8"/>
    </row>
    <row r="2180" spans="9:17" s="1" customFormat="1" x14ac:dyDescent="0.25">
      <c r="I2180" s="8"/>
      <c r="K2180" s="8"/>
      <c r="L2180" s="8"/>
      <c r="M2180" s="8"/>
      <c r="N2180" s="8"/>
      <c r="O2180" s="8"/>
      <c r="P2180" s="8"/>
      <c r="Q2180" s="8"/>
    </row>
    <row r="2181" spans="9:17" s="1" customFormat="1" x14ac:dyDescent="0.25">
      <c r="I2181" s="8"/>
      <c r="K2181" s="8"/>
      <c r="L2181" s="8"/>
      <c r="M2181" s="8"/>
      <c r="N2181" s="8"/>
      <c r="O2181" s="8"/>
      <c r="P2181" s="8"/>
      <c r="Q2181" s="8"/>
    </row>
    <row r="2182" spans="9:17" s="1" customFormat="1" x14ac:dyDescent="0.25">
      <c r="I2182" s="8"/>
      <c r="K2182" s="8"/>
      <c r="L2182" s="8"/>
      <c r="M2182" s="8"/>
      <c r="N2182" s="8"/>
      <c r="O2182" s="8"/>
      <c r="P2182" s="8"/>
      <c r="Q2182" s="8"/>
    </row>
    <row r="2183" spans="9:17" s="1" customFormat="1" x14ac:dyDescent="0.25">
      <c r="I2183" s="8"/>
      <c r="K2183" s="8"/>
      <c r="L2183" s="8"/>
      <c r="M2183" s="8"/>
      <c r="N2183" s="8"/>
      <c r="O2183" s="8"/>
      <c r="P2183" s="8"/>
      <c r="Q2183" s="8"/>
    </row>
    <row r="2184" spans="9:17" s="1" customFormat="1" x14ac:dyDescent="0.25">
      <c r="I2184" s="8"/>
      <c r="K2184" s="8"/>
      <c r="L2184" s="8"/>
      <c r="M2184" s="8"/>
      <c r="N2184" s="8"/>
      <c r="O2184" s="8"/>
      <c r="P2184" s="8"/>
      <c r="Q2184" s="8"/>
    </row>
    <row r="2185" spans="9:17" s="1" customFormat="1" x14ac:dyDescent="0.25">
      <c r="I2185" s="8"/>
      <c r="K2185" s="8"/>
      <c r="L2185" s="8"/>
      <c r="M2185" s="8"/>
      <c r="N2185" s="8"/>
      <c r="O2185" s="8"/>
      <c r="P2185" s="8"/>
      <c r="Q2185" s="8"/>
    </row>
    <row r="2186" spans="9:17" s="1" customFormat="1" x14ac:dyDescent="0.25">
      <c r="I2186" s="8"/>
      <c r="K2186" s="8"/>
      <c r="L2186" s="8"/>
      <c r="M2186" s="8"/>
      <c r="N2186" s="8"/>
      <c r="O2186" s="8"/>
      <c r="P2186" s="8"/>
      <c r="Q2186" s="8"/>
    </row>
    <row r="2187" spans="9:17" s="1" customFormat="1" x14ac:dyDescent="0.25">
      <c r="I2187" s="8"/>
      <c r="K2187" s="8"/>
      <c r="L2187" s="8"/>
      <c r="M2187" s="8"/>
      <c r="N2187" s="8"/>
      <c r="O2187" s="8"/>
      <c r="P2187" s="8"/>
      <c r="Q2187" s="8"/>
    </row>
    <row r="2188" spans="9:17" s="1" customFormat="1" x14ac:dyDescent="0.25">
      <c r="I2188" s="8"/>
      <c r="K2188" s="8"/>
      <c r="L2188" s="8"/>
      <c r="M2188" s="8"/>
      <c r="N2188" s="8"/>
      <c r="O2188" s="8"/>
      <c r="P2188" s="8"/>
      <c r="Q2188" s="8"/>
    </row>
    <row r="2189" spans="9:17" s="1" customFormat="1" x14ac:dyDescent="0.25">
      <c r="I2189" s="8"/>
      <c r="K2189" s="8"/>
      <c r="L2189" s="8"/>
      <c r="M2189" s="8"/>
      <c r="N2189" s="8"/>
      <c r="O2189" s="8"/>
      <c r="P2189" s="8"/>
      <c r="Q2189" s="8"/>
    </row>
    <row r="2190" spans="9:17" s="1" customFormat="1" x14ac:dyDescent="0.25">
      <c r="I2190" s="8"/>
      <c r="K2190" s="8"/>
      <c r="L2190" s="8"/>
      <c r="M2190" s="8"/>
      <c r="N2190" s="8"/>
      <c r="O2190" s="8"/>
      <c r="P2190" s="8"/>
      <c r="Q2190" s="8"/>
    </row>
    <row r="2191" spans="9:17" s="1" customFormat="1" x14ac:dyDescent="0.25">
      <c r="I2191" s="8"/>
      <c r="K2191" s="8"/>
      <c r="L2191" s="8"/>
      <c r="M2191" s="8"/>
      <c r="N2191" s="8"/>
      <c r="O2191" s="8"/>
      <c r="P2191" s="8"/>
      <c r="Q2191" s="8"/>
    </row>
    <row r="2192" spans="9:17" s="1" customFormat="1" x14ac:dyDescent="0.25">
      <c r="I2192" s="8"/>
      <c r="K2192" s="8"/>
      <c r="L2192" s="8"/>
      <c r="M2192" s="8"/>
      <c r="N2192" s="8"/>
      <c r="O2192" s="8"/>
      <c r="P2192" s="8"/>
      <c r="Q2192" s="8"/>
    </row>
    <row r="2193" spans="9:17" s="1" customFormat="1" x14ac:dyDescent="0.25">
      <c r="I2193" s="8"/>
      <c r="K2193" s="8"/>
      <c r="L2193" s="8"/>
      <c r="M2193" s="8"/>
      <c r="N2193" s="8"/>
      <c r="O2193" s="8"/>
      <c r="P2193" s="8"/>
      <c r="Q2193" s="8"/>
    </row>
    <row r="2194" spans="9:17" s="1" customFormat="1" x14ac:dyDescent="0.25">
      <c r="I2194" s="8"/>
      <c r="K2194" s="8"/>
      <c r="L2194" s="8"/>
      <c r="M2194" s="8"/>
      <c r="N2194" s="8"/>
      <c r="O2194" s="8"/>
      <c r="P2194" s="8"/>
      <c r="Q2194" s="8"/>
    </row>
    <row r="2195" spans="9:17" s="1" customFormat="1" x14ac:dyDescent="0.25">
      <c r="I2195" s="8"/>
      <c r="K2195" s="8"/>
      <c r="L2195" s="8"/>
      <c r="M2195" s="8"/>
      <c r="N2195" s="8"/>
      <c r="O2195" s="8"/>
      <c r="P2195" s="8"/>
      <c r="Q2195" s="8"/>
    </row>
    <row r="2196" spans="9:17" s="1" customFormat="1" x14ac:dyDescent="0.25">
      <c r="I2196" s="8"/>
      <c r="K2196" s="8"/>
      <c r="L2196" s="8"/>
      <c r="M2196" s="8"/>
      <c r="N2196" s="8"/>
      <c r="O2196" s="8"/>
      <c r="P2196" s="8"/>
      <c r="Q2196" s="8"/>
    </row>
    <row r="2197" spans="9:17" s="1" customFormat="1" x14ac:dyDescent="0.25">
      <c r="I2197" s="8"/>
      <c r="K2197" s="8"/>
      <c r="L2197" s="8"/>
      <c r="M2197" s="8"/>
      <c r="N2197" s="8"/>
      <c r="O2197" s="8"/>
      <c r="P2197" s="8"/>
      <c r="Q2197" s="8"/>
    </row>
    <row r="2198" spans="9:17" s="1" customFormat="1" x14ac:dyDescent="0.25">
      <c r="I2198" s="8"/>
      <c r="K2198" s="8"/>
      <c r="L2198" s="8"/>
      <c r="M2198" s="8"/>
      <c r="N2198" s="8"/>
      <c r="O2198" s="8"/>
      <c r="P2198" s="8"/>
      <c r="Q2198" s="8"/>
    </row>
    <row r="2199" spans="9:17" s="1" customFormat="1" x14ac:dyDescent="0.25">
      <c r="I2199" s="8"/>
      <c r="K2199" s="8"/>
      <c r="L2199" s="8"/>
      <c r="M2199" s="8"/>
      <c r="N2199" s="8"/>
      <c r="O2199" s="8"/>
      <c r="P2199" s="8"/>
      <c r="Q2199" s="8"/>
    </row>
    <row r="2200" spans="9:17" s="1" customFormat="1" x14ac:dyDescent="0.25">
      <c r="I2200" s="8"/>
      <c r="K2200" s="8"/>
      <c r="L2200" s="8"/>
      <c r="M2200" s="8"/>
      <c r="N2200" s="8"/>
      <c r="O2200" s="8"/>
      <c r="P2200" s="8"/>
      <c r="Q2200" s="8"/>
    </row>
    <row r="2201" spans="9:17" s="1" customFormat="1" x14ac:dyDescent="0.25">
      <c r="I2201" s="8"/>
      <c r="K2201" s="8"/>
      <c r="L2201" s="8"/>
      <c r="M2201" s="8"/>
      <c r="N2201" s="8"/>
      <c r="O2201" s="8"/>
      <c r="P2201" s="8"/>
      <c r="Q2201" s="8"/>
    </row>
    <row r="2202" spans="9:17" s="1" customFormat="1" x14ac:dyDescent="0.25">
      <c r="I2202" s="8"/>
      <c r="K2202" s="8"/>
      <c r="L2202" s="8"/>
      <c r="M2202" s="8"/>
      <c r="N2202" s="8"/>
      <c r="O2202" s="8"/>
      <c r="P2202" s="8"/>
      <c r="Q2202" s="8"/>
    </row>
    <row r="2203" spans="9:17" s="1" customFormat="1" x14ac:dyDescent="0.25">
      <c r="I2203" s="8"/>
      <c r="K2203" s="8"/>
      <c r="L2203" s="8"/>
      <c r="M2203" s="8"/>
      <c r="N2203" s="8"/>
      <c r="O2203" s="8"/>
      <c r="P2203" s="8"/>
      <c r="Q2203" s="8"/>
    </row>
    <row r="2204" spans="9:17" s="1" customFormat="1" x14ac:dyDescent="0.25">
      <c r="I2204" s="8"/>
      <c r="K2204" s="8"/>
      <c r="L2204" s="8"/>
      <c r="M2204" s="8"/>
      <c r="N2204" s="8"/>
      <c r="O2204" s="8"/>
      <c r="P2204" s="8"/>
      <c r="Q2204" s="8"/>
    </row>
    <row r="2205" spans="9:17" s="1" customFormat="1" x14ac:dyDescent="0.25">
      <c r="I2205" s="8"/>
      <c r="K2205" s="8"/>
      <c r="L2205" s="8"/>
      <c r="M2205" s="8"/>
      <c r="N2205" s="8"/>
      <c r="O2205" s="8"/>
      <c r="P2205" s="8"/>
      <c r="Q2205" s="8"/>
    </row>
    <row r="2206" spans="9:17" s="1" customFormat="1" x14ac:dyDescent="0.25">
      <c r="I2206" s="8"/>
      <c r="K2206" s="8"/>
      <c r="L2206" s="8"/>
      <c r="M2206" s="8"/>
      <c r="N2206" s="8"/>
      <c r="O2206" s="8"/>
      <c r="P2206" s="8"/>
      <c r="Q2206" s="8"/>
    </row>
    <row r="2207" spans="9:17" s="1" customFormat="1" x14ac:dyDescent="0.25">
      <c r="I2207" s="8"/>
      <c r="K2207" s="8"/>
      <c r="L2207" s="8"/>
      <c r="M2207" s="8"/>
      <c r="N2207" s="8"/>
      <c r="O2207" s="8"/>
      <c r="P2207" s="8"/>
      <c r="Q2207" s="8"/>
    </row>
    <row r="2208" spans="9:17" s="1" customFormat="1" x14ac:dyDescent="0.25">
      <c r="I2208" s="8"/>
      <c r="K2208" s="8"/>
      <c r="L2208" s="8"/>
      <c r="M2208" s="8"/>
      <c r="N2208" s="8"/>
      <c r="O2208" s="8"/>
      <c r="P2208" s="8"/>
      <c r="Q2208" s="8"/>
    </row>
    <row r="2209" spans="9:17" s="1" customFormat="1" x14ac:dyDescent="0.25">
      <c r="I2209" s="8"/>
      <c r="K2209" s="8"/>
      <c r="L2209" s="8"/>
      <c r="M2209" s="8"/>
      <c r="N2209" s="8"/>
      <c r="O2209" s="8"/>
      <c r="P2209" s="8"/>
      <c r="Q2209" s="8"/>
    </row>
    <row r="2210" spans="9:17" s="1" customFormat="1" x14ac:dyDescent="0.25">
      <c r="I2210" s="8"/>
      <c r="K2210" s="8"/>
      <c r="L2210" s="8"/>
      <c r="M2210" s="8"/>
      <c r="N2210" s="8"/>
      <c r="O2210" s="8"/>
      <c r="P2210" s="8"/>
      <c r="Q2210" s="8"/>
    </row>
    <row r="2211" spans="9:17" s="1" customFormat="1" x14ac:dyDescent="0.25">
      <c r="I2211" s="8"/>
      <c r="K2211" s="8"/>
      <c r="L2211" s="8"/>
      <c r="M2211" s="8"/>
      <c r="N2211" s="8"/>
      <c r="O2211" s="8"/>
      <c r="P2211" s="8"/>
      <c r="Q2211" s="8"/>
    </row>
    <row r="2212" spans="9:17" s="1" customFormat="1" x14ac:dyDescent="0.25">
      <c r="I2212" s="8"/>
      <c r="K2212" s="8"/>
      <c r="L2212" s="8"/>
      <c r="M2212" s="8"/>
      <c r="N2212" s="8"/>
      <c r="O2212" s="8"/>
      <c r="P2212" s="8"/>
      <c r="Q2212" s="8"/>
    </row>
    <row r="2213" spans="9:17" s="1" customFormat="1" x14ac:dyDescent="0.25">
      <c r="I2213" s="8"/>
      <c r="K2213" s="8"/>
      <c r="L2213" s="8"/>
      <c r="M2213" s="8"/>
      <c r="N2213" s="8"/>
      <c r="O2213" s="8"/>
      <c r="P2213" s="8"/>
      <c r="Q2213" s="8"/>
    </row>
    <row r="2214" spans="9:17" s="1" customFormat="1" x14ac:dyDescent="0.25">
      <c r="I2214" s="8"/>
      <c r="K2214" s="8"/>
      <c r="L2214" s="8"/>
      <c r="M2214" s="8"/>
      <c r="N2214" s="8"/>
      <c r="O2214" s="8"/>
      <c r="P2214" s="8"/>
      <c r="Q2214" s="8"/>
    </row>
    <row r="2215" spans="9:17" s="1" customFormat="1" x14ac:dyDescent="0.25">
      <c r="I2215" s="8"/>
      <c r="K2215" s="8"/>
      <c r="L2215" s="8"/>
      <c r="M2215" s="8"/>
      <c r="N2215" s="8"/>
      <c r="O2215" s="8"/>
      <c r="P2215" s="8"/>
      <c r="Q2215" s="8"/>
    </row>
    <row r="2216" spans="9:17" s="1" customFormat="1" x14ac:dyDescent="0.25">
      <c r="I2216" s="8"/>
      <c r="K2216" s="8"/>
      <c r="L2216" s="8"/>
      <c r="M2216" s="8"/>
      <c r="N2216" s="8"/>
      <c r="O2216" s="8"/>
      <c r="P2216" s="8"/>
      <c r="Q2216" s="8"/>
    </row>
    <row r="2217" spans="9:17" s="1" customFormat="1" x14ac:dyDescent="0.25">
      <c r="I2217" s="8"/>
      <c r="K2217" s="8"/>
      <c r="L2217" s="8"/>
      <c r="M2217" s="8"/>
      <c r="N2217" s="8"/>
      <c r="O2217" s="8"/>
      <c r="P2217" s="8"/>
      <c r="Q2217" s="8"/>
    </row>
    <row r="2218" spans="9:17" s="1" customFormat="1" x14ac:dyDescent="0.25">
      <c r="I2218" s="8"/>
      <c r="K2218" s="8"/>
      <c r="L2218" s="8"/>
      <c r="M2218" s="8"/>
      <c r="N2218" s="8"/>
      <c r="O2218" s="8"/>
      <c r="P2218" s="8"/>
      <c r="Q2218" s="8"/>
    </row>
    <row r="2219" spans="9:17" s="1" customFormat="1" x14ac:dyDescent="0.25">
      <c r="I2219" s="8"/>
      <c r="K2219" s="8"/>
      <c r="L2219" s="8"/>
      <c r="M2219" s="8"/>
      <c r="N2219" s="8"/>
      <c r="O2219" s="8"/>
      <c r="P2219" s="8"/>
      <c r="Q2219" s="8"/>
    </row>
    <row r="2220" spans="9:17" s="1" customFormat="1" x14ac:dyDescent="0.25">
      <c r="I2220" s="8"/>
      <c r="K2220" s="8"/>
      <c r="L2220" s="8"/>
      <c r="M2220" s="8"/>
      <c r="N2220" s="8"/>
      <c r="O2220" s="8"/>
      <c r="P2220" s="8"/>
      <c r="Q2220" s="8"/>
    </row>
    <row r="2221" spans="9:17" s="1" customFormat="1" x14ac:dyDescent="0.25">
      <c r="I2221" s="8"/>
      <c r="K2221" s="8"/>
      <c r="L2221" s="8"/>
      <c r="M2221" s="8"/>
      <c r="N2221" s="8"/>
      <c r="O2221" s="8"/>
      <c r="P2221" s="8"/>
      <c r="Q2221" s="8"/>
    </row>
    <row r="2222" spans="9:17" s="1" customFormat="1" x14ac:dyDescent="0.25">
      <c r="I2222" s="8"/>
      <c r="K2222" s="8"/>
      <c r="L2222" s="8"/>
      <c r="M2222" s="8"/>
      <c r="N2222" s="8"/>
      <c r="O2222" s="8"/>
      <c r="P2222" s="8"/>
      <c r="Q2222" s="8"/>
    </row>
    <row r="2223" spans="9:17" s="1" customFormat="1" x14ac:dyDescent="0.25">
      <c r="I2223" s="8"/>
      <c r="K2223" s="8"/>
      <c r="L2223" s="8"/>
      <c r="M2223" s="8"/>
      <c r="N2223" s="8"/>
      <c r="O2223" s="8"/>
      <c r="P2223" s="8"/>
      <c r="Q2223" s="8"/>
    </row>
    <row r="2224" spans="9:17" s="1" customFormat="1" x14ac:dyDescent="0.25">
      <c r="I2224" s="8"/>
      <c r="K2224" s="8"/>
      <c r="L2224" s="8"/>
      <c r="M2224" s="8"/>
      <c r="N2224" s="8"/>
      <c r="O2224" s="8"/>
      <c r="P2224" s="8"/>
      <c r="Q2224" s="8"/>
    </row>
    <row r="2225" spans="9:17" s="1" customFormat="1" x14ac:dyDescent="0.25">
      <c r="I2225" s="8"/>
      <c r="K2225" s="8"/>
      <c r="L2225" s="8"/>
      <c r="M2225" s="8"/>
      <c r="N2225" s="8"/>
      <c r="O2225" s="8"/>
      <c r="P2225" s="8"/>
      <c r="Q2225" s="8"/>
    </row>
    <row r="2226" spans="9:17" s="1" customFormat="1" x14ac:dyDescent="0.25">
      <c r="I2226" s="8"/>
      <c r="K2226" s="8"/>
      <c r="L2226" s="8"/>
      <c r="M2226" s="8"/>
      <c r="N2226" s="8"/>
      <c r="O2226" s="8"/>
      <c r="P2226" s="8"/>
      <c r="Q2226" s="8"/>
    </row>
    <row r="2227" spans="9:17" s="1" customFormat="1" x14ac:dyDescent="0.25">
      <c r="I2227" s="8"/>
      <c r="K2227" s="8"/>
      <c r="L2227" s="8"/>
      <c r="M2227" s="8"/>
      <c r="N2227" s="8"/>
      <c r="O2227" s="8"/>
      <c r="P2227" s="8"/>
      <c r="Q2227" s="8"/>
    </row>
    <row r="2228" spans="9:17" s="1" customFormat="1" x14ac:dyDescent="0.25">
      <c r="I2228" s="8"/>
      <c r="K2228" s="8"/>
      <c r="L2228" s="8"/>
      <c r="M2228" s="8"/>
      <c r="N2228" s="8"/>
      <c r="O2228" s="8"/>
      <c r="P2228" s="8"/>
      <c r="Q2228" s="8"/>
    </row>
    <row r="2229" spans="9:17" s="1" customFormat="1" x14ac:dyDescent="0.25">
      <c r="I2229" s="8"/>
      <c r="K2229" s="8"/>
      <c r="L2229" s="8"/>
      <c r="M2229" s="8"/>
      <c r="N2229" s="8"/>
      <c r="O2229" s="8"/>
      <c r="P2229" s="8"/>
      <c r="Q2229" s="8"/>
    </row>
    <row r="2230" spans="9:17" s="1" customFormat="1" x14ac:dyDescent="0.25">
      <c r="I2230" s="8"/>
      <c r="K2230" s="8"/>
      <c r="L2230" s="8"/>
      <c r="M2230" s="8"/>
      <c r="N2230" s="8"/>
      <c r="O2230" s="8"/>
      <c r="P2230" s="8"/>
      <c r="Q2230" s="8"/>
    </row>
    <row r="2231" spans="9:17" s="1" customFormat="1" x14ac:dyDescent="0.25">
      <c r="I2231" s="8"/>
      <c r="K2231" s="8"/>
      <c r="L2231" s="8"/>
      <c r="M2231" s="8"/>
      <c r="N2231" s="8"/>
      <c r="O2231" s="8"/>
      <c r="P2231" s="8"/>
      <c r="Q2231" s="8"/>
    </row>
    <row r="2232" spans="9:17" s="1" customFormat="1" x14ac:dyDescent="0.25">
      <c r="I2232" s="8"/>
      <c r="K2232" s="8"/>
      <c r="L2232" s="8"/>
      <c r="M2232" s="8"/>
      <c r="N2232" s="8"/>
      <c r="O2232" s="8"/>
      <c r="P2232" s="8"/>
      <c r="Q2232" s="8"/>
    </row>
    <row r="2233" spans="9:17" s="1" customFormat="1" x14ac:dyDescent="0.25">
      <c r="I2233" s="8"/>
      <c r="K2233" s="8"/>
      <c r="L2233" s="8"/>
      <c r="M2233" s="8"/>
      <c r="N2233" s="8"/>
      <c r="O2233" s="8"/>
      <c r="P2233" s="8"/>
      <c r="Q2233" s="8"/>
    </row>
    <row r="2234" spans="9:17" s="1" customFormat="1" x14ac:dyDescent="0.25">
      <c r="I2234" s="8"/>
      <c r="K2234" s="8"/>
      <c r="L2234" s="8"/>
      <c r="M2234" s="8"/>
      <c r="N2234" s="8"/>
      <c r="O2234" s="8"/>
      <c r="P2234" s="8"/>
      <c r="Q2234" s="8"/>
    </row>
    <row r="2235" spans="9:17" s="1" customFormat="1" x14ac:dyDescent="0.25">
      <c r="I2235" s="8"/>
      <c r="K2235" s="8"/>
      <c r="L2235" s="8"/>
      <c r="M2235" s="8"/>
      <c r="N2235" s="8"/>
      <c r="O2235" s="8"/>
      <c r="P2235" s="8"/>
      <c r="Q2235" s="8"/>
    </row>
    <row r="2236" spans="9:17" s="1" customFormat="1" x14ac:dyDescent="0.25">
      <c r="I2236" s="8"/>
      <c r="K2236" s="8"/>
      <c r="L2236" s="8"/>
      <c r="M2236" s="8"/>
      <c r="N2236" s="8"/>
      <c r="O2236" s="8"/>
      <c r="P2236" s="8"/>
      <c r="Q2236" s="8"/>
    </row>
    <row r="2237" spans="9:17" s="1" customFormat="1" x14ac:dyDescent="0.25">
      <c r="I2237" s="8"/>
      <c r="K2237" s="8"/>
      <c r="L2237" s="8"/>
      <c r="M2237" s="8"/>
      <c r="N2237" s="8"/>
      <c r="O2237" s="8"/>
      <c r="P2237" s="8"/>
      <c r="Q2237" s="8"/>
    </row>
    <row r="2238" spans="9:17" s="1" customFormat="1" x14ac:dyDescent="0.25">
      <c r="I2238" s="8"/>
      <c r="K2238" s="8"/>
      <c r="L2238" s="8"/>
      <c r="M2238" s="8"/>
      <c r="N2238" s="8"/>
      <c r="O2238" s="8"/>
      <c r="P2238" s="8"/>
      <c r="Q2238" s="8"/>
    </row>
    <row r="2239" spans="9:17" s="1" customFormat="1" x14ac:dyDescent="0.25">
      <c r="I2239" s="8"/>
      <c r="K2239" s="8"/>
      <c r="L2239" s="8"/>
      <c r="M2239" s="8"/>
      <c r="N2239" s="8"/>
      <c r="O2239" s="8"/>
      <c r="P2239" s="8"/>
      <c r="Q2239" s="8"/>
    </row>
    <row r="2240" spans="9:17" s="1" customFormat="1" x14ac:dyDescent="0.25">
      <c r="I2240" s="8"/>
      <c r="K2240" s="8"/>
      <c r="L2240" s="8"/>
      <c r="M2240" s="8"/>
      <c r="N2240" s="8"/>
      <c r="O2240" s="8"/>
      <c r="P2240" s="8"/>
      <c r="Q2240" s="8"/>
    </row>
    <row r="2241" spans="9:17" s="1" customFormat="1" x14ac:dyDescent="0.25">
      <c r="I2241" s="8"/>
      <c r="K2241" s="8"/>
      <c r="L2241" s="8"/>
      <c r="M2241" s="8"/>
      <c r="N2241" s="8"/>
      <c r="O2241" s="8"/>
      <c r="P2241" s="8"/>
      <c r="Q2241" s="8"/>
    </row>
    <row r="2242" spans="9:17" s="1" customFormat="1" x14ac:dyDescent="0.25">
      <c r="I2242" s="8"/>
      <c r="K2242" s="8"/>
      <c r="L2242" s="8"/>
      <c r="M2242" s="8"/>
      <c r="N2242" s="8"/>
      <c r="O2242" s="8"/>
      <c r="P2242" s="8"/>
      <c r="Q2242" s="8"/>
    </row>
    <row r="2243" spans="9:17" s="1" customFormat="1" x14ac:dyDescent="0.25">
      <c r="I2243" s="8"/>
      <c r="K2243" s="8"/>
      <c r="L2243" s="8"/>
      <c r="M2243" s="8"/>
      <c r="N2243" s="8"/>
      <c r="O2243" s="8"/>
      <c r="P2243" s="8"/>
      <c r="Q2243" s="8"/>
    </row>
    <row r="2244" spans="9:17" s="1" customFormat="1" x14ac:dyDescent="0.25">
      <c r="I2244" s="8"/>
      <c r="K2244" s="8"/>
      <c r="L2244" s="8"/>
      <c r="M2244" s="8"/>
      <c r="N2244" s="8"/>
      <c r="O2244" s="8"/>
      <c r="P2244" s="8"/>
      <c r="Q2244" s="8"/>
    </row>
    <row r="2245" spans="9:17" s="1" customFormat="1" x14ac:dyDescent="0.25">
      <c r="I2245" s="8"/>
      <c r="K2245" s="8"/>
      <c r="L2245" s="8"/>
      <c r="M2245" s="8"/>
      <c r="N2245" s="8"/>
      <c r="O2245" s="8"/>
      <c r="P2245" s="8"/>
      <c r="Q2245" s="8"/>
    </row>
    <row r="2246" spans="9:17" s="1" customFormat="1" x14ac:dyDescent="0.25">
      <c r="I2246" s="8"/>
      <c r="K2246" s="8"/>
      <c r="L2246" s="8"/>
      <c r="M2246" s="8"/>
      <c r="N2246" s="8"/>
      <c r="O2246" s="8"/>
      <c r="P2246" s="8"/>
      <c r="Q2246" s="8"/>
    </row>
    <row r="2247" spans="9:17" s="1" customFormat="1" x14ac:dyDescent="0.25">
      <c r="I2247" s="8"/>
      <c r="K2247" s="8"/>
      <c r="L2247" s="8"/>
      <c r="M2247" s="8"/>
      <c r="N2247" s="8"/>
      <c r="O2247" s="8"/>
      <c r="P2247" s="8"/>
      <c r="Q2247" s="8"/>
    </row>
    <row r="2248" spans="9:17" s="1" customFormat="1" x14ac:dyDescent="0.25">
      <c r="I2248" s="8"/>
      <c r="K2248" s="8"/>
      <c r="L2248" s="8"/>
      <c r="M2248" s="8"/>
      <c r="N2248" s="8"/>
      <c r="O2248" s="8"/>
      <c r="P2248" s="8"/>
      <c r="Q2248" s="8"/>
    </row>
    <row r="2249" spans="9:17" s="1" customFormat="1" x14ac:dyDescent="0.25">
      <c r="I2249" s="8"/>
      <c r="K2249" s="8"/>
      <c r="L2249" s="8"/>
      <c r="M2249" s="8"/>
      <c r="N2249" s="8"/>
      <c r="O2249" s="8"/>
      <c r="P2249" s="8"/>
      <c r="Q2249" s="8"/>
    </row>
    <row r="2250" spans="9:17" s="1" customFormat="1" x14ac:dyDescent="0.25">
      <c r="I2250" s="8"/>
      <c r="K2250" s="8"/>
      <c r="L2250" s="8"/>
      <c r="M2250" s="8"/>
      <c r="N2250" s="8"/>
      <c r="O2250" s="8"/>
      <c r="P2250" s="8"/>
      <c r="Q2250" s="8"/>
    </row>
    <row r="2251" spans="9:17" s="1" customFormat="1" x14ac:dyDescent="0.25">
      <c r="I2251" s="8"/>
      <c r="K2251" s="8"/>
      <c r="L2251" s="8"/>
      <c r="M2251" s="8"/>
      <c r="N2251" s="8"/>
      <c r="O2251" s="8"/>
      <c r="P2251" s="8"/>
      <c r="Q2251" s="8"/>
    </row>
    <row r="2252" spans="9:17" s="1" customFormat="1" x14ac:dyDescent="0.25">
      <c r="I2252" s="8"/>
      <c r="K2252" s="8"/>
      <c r="L2252" s="8"/>
      <c r="M2252" s="8"/>
      <c r="N2252" s="8"/>
      <c r="O2252" s="8"/>
      <c r="P2252" s="8"/>
      <c r="Q2252" s="8"/>
    </row>
    <row r="2253" spans="9:17" s="1" customFormat="1" x14ac:dyDescent="0.25">
      <c r="I2253" s="8"/>
      <c r="K2253" s="8"/>
      <c r="L2253" s="8"/>
      <c r="M2253" s="8"/>
      <c r="N2253" s="8"/>
      <c r="O2253" s="8"/>
      <c r="P2253" s="8"/>
      <c r="Q2253" s="8"/>
    </row>
    <row r="2254" spans="9:17" s="1" customFormat="1" x14ac:dyDescent="0.25">
      <c r="I2254" s="8"/>
      <c r="K2254" s="8"/>
      <c r="L2254" s="8"/>
      <c r="M2254" s="8"/>
      <c r="N2254" s="8"/>
      <c r="O2254" s="8"/>
      <c r="P2254" s="8"/>
      <c r="Q2254" s="8"/>
    </row>
    <row r="2255" spans="9:17" s="1" customFormat="1" x14ac:dyDescent="0.25">
      <c r="I2255" s="8"/>
      <c r="K2255" s="8"/>
      <c r="L2255" s="8"/>
      <c r="M2255" s="8"/>
      <c r="N2255" s="8"/>
      <c r="O2255" s="8"/>
      <c r="P2255" s="8"/>
      <c r="Q2255" s="8"/>
    </row>
    <row r="2256" spans="9:17" s="1" customFormat="1" x14ac:dyDescent="0.25">
      <c r="I2256" s="8"/>
      <c r="K2256" s="8"/>
      <c r="L2256" s="8"/>
      <c r="M2256" s="8"/>
      <c r="N2256" s="8"/>
      <c r="O2256" s="8"/>
      <c r="P2256" s="8"/>
      <c r="Q2256" s="8"/>
    </row>
    <row r="2257" spans="9:17" s="1" customFormat="1" x14ac:dyDescent="0.25">
      <c r="I2257" s="8"/>
      <c r="K2257" s="8"/>
      <c r="L2257" s="8"/>
      <c r="M2257" s="8"/>
      <c r="N2257" s="8"/>
      <c r="O2257" s="8"/>
      <c r="P2257" s="8"/>
      <c r="Q2257" s="8"/>
    </row>
    <row r="2258" spans="9:17" s="1" customFormat="1" x14ac:dyDescent="0.25">
      <c r="I2258" s="8"/>
      <c r="K2258" s="8"/>
      <c r="L2258" s="8"/>
      <c r="M2258" s="8"/>
      <c r="N2258" s="8"/>
      <c r="O2258" s="8"/>
      <c r="P2258" s="8"/>
      <c r="Q2258" s="8"/>
    </row>
    <row r="2259" spans="9:17" s="1" customFormat="1" x14ac:dyDescent="0.25">
      <c r="I2259" s="8"/>
      <c r="K2259" s="8"/>
      <c r="L2259" s="8"/>
      <c r="M2259" s="8"/>
      <c r="N2259" s="8"/>
      <c r="O2259" s="8"/>
      <c r="P2259" s="8"/>
      <c r="Q2259" s="8"/>
    </row>
    <row r="2260" spans="9:17" s="1" customFormat="1" x14ac:dyDescent="0.25">
      <c r="I2260" s="8"/>
      <c r="K2260" s="8"/>
      <c r="L2260" s="8"/>
      <c r="M2260" s="8"/>
      <c r="N2260" s="8"/>
      <c r="O2260" s="8"/>
      <c r="P2260" s="8"/>
      <c r="Q2260" s="8"/>
    </row>
    <row r="2261" spans="9:17" s="1" customFormat="1" x14ac:dyDescent="0.25">
      <c r="I2261" s="8"/>
      <c r="K2261" s="8"/>
      <c r="L2261" s="8"/>
      <c r="M2261" s="8"/>
      <c r="N2261" s="8"/>
      <c r="O2261" s="8"/>
      <c r="P2261" s="8"/>
      <c r="Q2261" s="8"/>
    </row>
    <row r="2262" spans="9:17" s="1" customFormat="1" x14ac:dyDescent="0.25">
      <c r="I2262" s="8"/>
      <c r="K2262" s="8"/>
      <c r="L2262" s="8"/>
      <c r="M2262" s="8"/>
      <c r="N2262" s="8"/>
      <c r="O2262" s="8"/>
      <c r="P2262" s="8"/>
      <c r="Q2262" s="8"/>
    </row>
    <row r="2263" spans="9:17" s="1" customFormat="1" x14ac:dyDescent="0.25">
      <c r="I2263" s="8"/>
      <c r="K2263" s="8"/>
      <c r="L2263" s="8"/>
      <c r="M2263" s="8"/>
      <c r="N2263" s="8"/>
      <c r="O2263" s="8"/>
      <c r="P2263" s="8"/>
      <c r="Q2263" s="8"/>
    </row>
    <row r="2264" spans="9:17" s="1" customFormat="1" x14ac:dyDescent="0.25">
      <c r="I2264" s="8"/>
      <c r="K2264" s="8"/>
      <c r="L2264" s="8"/>
      <c r="M2264" s="8"/>
      <c r="N2264" s="8"/>
      <c r="O2264" s="8"/>
      <c r="P2264" s="8"/>
      <c r="Q2264" s="8"/>
    </row>
    <row r="2265" spans="9:17" s="1" customFormat="1" x14ac:dyDescent="0.25">
      <c r="I2265" s="8"/>
      <c r="K2265" s="8"/>
      <c r="L2265" s="8"/>
      <c r="M2265" s="8"/>
      <c r="N2265" s="8"/>
      <c r="O2265" s="8"/>
      <c r="P2265" s="8"/>
      <c r="Q2265" s="8"/>
    </row>
    <row r="2266" spans="9:17" s="1" customFormat="1" x14ac:dyDescent="0.25">
      <c r="I2266" s="8"/>
      <c r="K2266" s="8"/>
      <c r="L2266" s="8"/>
      <c r="M2266" s="8"/>
      <c r="N2266" s="8"/>
      <c r="O2266" s="8"/>
      <c r="P2266" s="8"/>
      <c r="Q2266" s="8"/>
    </row>
    <row r="2267" spans="9:17" s="1" customFormat="1" x14ac:dyDescent="0.25">
      <c r="I2267" s="8"/>
      <c r="K2267" s="8"/>
      <c r="L2267" s="8"/>
      <c r="M2267" s="8"/>
      <c r="N2267" s="8"/>
      <c r="O2267" s="8"/>
      <c r="P2267" s="8"/>
      <c r="Q2267" s="8"/>
    </row>
    <row r="2268" spans="9:17" s="1" customFormat="1" x14ac:dyDescent="0.25">
      <c r="I2268" s="8"/>
      <c r="K2268" s="8"/>
      <c r="L2268" s="8"/>
      <c r="M2268" s="8"/>
      <c r="N2268" s="8"/>
      <c r="O2268" s="8"/>
      <c r="P2268" s="8"/>
      <c r="Q2268" s="8"/>
    </row>
    <row r="2269" spans="9:17" s="1" customFormat="1" x14ac:dyDescent="0.25">
      <c r="I2269" s="8"/>
      <c r="K2269" s="8"/>
      <c r="L2269" s="8"/>
      <c r="M2269" s="8"/>
      <c r="N2269" s="8"/>
      <c r="O2269" s="8"/>
      <c r="P2269" s="8"/>
      <c r="Q2269" s="8"/>
    </row>
    <row r="2270" spans="9:17" s="1" customFormat="1" x14ac:dyDescent="0.25">
      <c r="I2270" s="8"/>
      <c r="K2270" s="8"/>
      <c r="L2270" s="8"/>
      <c r="M2270" s="8"/>
      <c r="N2270" s="8"/>
      <c r="O2270" s="8"/>
      <c r="P2270" s="8"/>
      <c r="Q2270" s="8"/>
    </row>
    <row r="2271" spans="9:17" s="1" customFormat="1" x14ac:dyDescent="0.25">
      <c r="I2271" s="8"/>
      <c r="K2271" s="8"/>
      <c r="L2271" s="8"/>
      <c r="M2271" s="8"/>
      <c r="N2271" s="8"/>
      <c r="O2271" s="8"/>
      <c r="P2271" s="8"/>
      <c r="Q2271" s="8"/>
    </row>
    <row r="2272" spans="9:17" s="1" customFormat="1" x14ac:dyDescent="0.25">
      <c r="I2272" s="8"/>
      <c r="K2272" s="8"/>
      <c r="L2272" s="8"/>
      <c r="M2272" s="8"/>
      <c r="N2272" s="8"/>
      <c r="O2272" s="8"/>
      <c r="P2272" s="8"/>
      <c r="Q2272" s="8"/>
    </row>
    <row r="2273" spans="9:17" s="1" customFormat="1" x14ac:dyDescent="0.25">
      <c r="I2273" s="8"/>
      <c r="K2273" s="8"/>
      <c r="L2273" s="8"/>
      <c r="M2273" s="8"/>
      <c r="N2273" s="8"/>
      <c r="O2273" s="8"/>
      <c r="P2273" s="8"/>
      <c r="Q2273" s="8"/>
    </row>
    <row r="2274" spans="9:17" s="1" customFormat="1" x14ac:dyDescent="0.25">
      <c r="I2274" s="8"/>
      <c r="K2274" s="8"/>
      <c r="L2274" s="8"/>
      <c r="M2274" s="8"/>
      <c r="N2274" s="8"/>
      <c r="O2274" s="8"/>
      <c r="P2274" s="8"/>
      <c r="Q2274" s="8"/>
    </row>
    <row r="2275" spans="9:17" s="1" customFormat="1" x14ac:dyDescent="0.25">
      <c r="I2275" s="8"/>
      <c r="K2275" s="8"/>
      <c r="L2275" s="8"/>
      <c r="M2275" s="8"/>
      <c r="N2275" s="8"/>
      <c r="O2275" s="8"/>
      <c r="P2275" s="8"/>
      <c r="Q2275" s="8"/>
    </row>
    <row r="2276" spans="9:17" s="1" customFormat="1" x14ac:dyDescent="0.25">
      <c r="I2276" s="8"/>
      <c r="K2276" s="8"/>
      <c r="L2276" s="8"/>
      <c r="M2276" s="8"/>
      <c r="N2276" s="8"/>
      <c r="O2276" s="8"/>
      <c r="P2276" s="8"/>
      <c r="Q2276" s="8"/>
    </row>
    <row r="2277" spans="9:17" s="1" customFormat="1" x14ac:dyDescent="0.25">
      <c r="I2277" s="8"/>
      <c r="K2277" s="8"/>
      <c r="L2277" s="8"/>
      <c r="M2277" s="8"/>
      <c r="N2277" s="8"/>
      <c r="O2277" s="8"/>
      <c r="P2277" s="8"/>
      <c r="Q2277" s="8"/>
    </row>
    <row r="2278" spans="9:17" s="1" customFormat="1" x14ac:dyDescent="0.25">
      <c r="I2278" s="8"/>
      <c r="K2278" s="8"/>
      <c r="L2278" s="8"/>
      <c r="M2278" s="8"/>
      <c r="N2278" s="8"/>
      <c r="O2278" s="8"/>
      <c r="P2278" s="8"/>
      <c r="Q2278" s="8"/>
    </row>
    <row r="2279" spans="9:17" s="1" customFormat="1" x14ac:dyDescent="0.25">
      <c r="I2279" s="8"/>
      <c r="K2279" s="8"/>
      <c r="L2279" s="8"/>
      <c r="M2279" s="8"/>
      <c r="N2279" s="8"/>
      <c r="O2279" s="8"/>
      <c r="P2279" s="8"/>
      <c r="Q2279" s="8"/>
    </row>
    <row r="2280" spans="9:17" s="1" customFormat="1" x14ac:dyDescent="0.25">
      <c r="I2280" s="8"/>
      <c r="K2280" s="8"/>
      <c r="L2280" s="8"/>
      <c r="M2280" s="8"/>
      <c r="N2280" s="8"/>
      <c r="O2280" s="8"/>
      <c r="P2280" s="8"/>
      <c r="Q2280" s="8"/>
    </row>
    <row r="2281" spans="9:17" s="1" customFormat="1" x14ac:dyDescent="0.25">
      <c r="I2281" s="8"/>
      <c r="K2281" s="8"/>
      <c r="L2281" s="8"/>
      <c r="M2281" s="8"/>
      <c r="N2281" s="8"/>
      <c r="O2281" s="8"/>
      <c r="P2281" s="8"/>
      <c r="Q2281" s="8"/>
    </row>
    <row r="2282" spans="9:17" s="1" customFormat="1" x14ac:dyDescent="0.25">
      <c r="I2282" s="8"/>
      <c r="K2282" s="8"/>
      <c r="L2282" s="8"/>
      <c r="M2282" s="8"/>
      <c r="N2282" s="8"/>
      <c r="O2282" s="8"/>
      <c r="P2282" s="8"/>
      <c r="Q2282" s="8"/>
    </row>
    <row r="2283" spans="9:17" s="1" customFormat="1" x14ac:dyDescent="0.25">
      <c r="I2283" s="8"/>
      <c r="K2283" s="8"/>
      <c r="L2283" s="8"/>
      <c r="M2283" s="8"/>
      <c r="N2283" s="8"/>
      <c r="O2283" s="8"/>
      <c r="P2283" s="8"/>
      <c r="Q2283" s="8"/>
    </row>
    <row r="2284" spans="9:17" s="1" customFormat="1" x14ac:dyDescent="0.25">
      <c r="I2284" s="8"/>
      <c r="K2284" s="8"/>
      <c r="L2284" s="8"/>
      <c r="M2284" s="8"/>
      <c r="N2284" s="8"/>
      <c r="O2284" s="8"/>
      <c r="P2284" s="8"/>
      <c r="Q2284" s="8"/>
    </row>
    <row r="2285" spans="9:17" s="1" customFormat="1" x14ac:dyDescent="0.25">
      <c r="I2285" s="8"/>
      <c r="K2285" s="8"/>
      <c r="L2285" s="8"/>
      <c r="M2285" s="8"/>
      <c r="N2285" s="8"/>
      <c r="O2285" s="8"/>
      <c r="P2285" s="8"/>
      <c r="Q2285" s="8"/>
    </row>
    <row r="2286" spans="9:17" s="1" customFormat="1" x14ac:dyDescent="0.25">
      <c r="I2286" s="8"/>
      <c r="K2286" s="8"/>
      <c r="L2286" s="8"/>
      <c r="M2286" s="8"/>
      <c r="N2286" s="8"/>
      <c r="O2286" s="8"/>
      <c r="P2286" s="8"/>
      <c r="Q2286" s="8"/>
    </row>
    <row r="2287" spans="9:17" s="1" customFormat="1" x14ac:dyDescent="0.25">
      <c r="I2287" s="8"/>
      <c r="K2287" s="8"/>
      <c r="L2287" s="8"/>
      <c r="M2287" s="8"/>
      <c r="N2287" s="8"/>
      <c r="O2287" s="8"/>
      <c r="P2287" s="8"/>
      <c r="Q2287" s="8"/>
    </row>
    <row r="2288" spans="9:17" s="1" customFormat="1" x14ac:dyDescent="0.25">
      <c r="I2288" s="8"/>
      <c r="K2288" s="8"/>
      <c r="L2288" s="8"/>
      <c r="M2288" s="8"/>
      <c r="N2288" s="8"/>
      <c r="O2288" s="8"/>
      <c r="P2288" s="8"/>
      <c r="Q2288" s="8"/>
    </row>
    <row r="2289" spans="9:17" s="1" customFormat="1" x14ac:dyDescent="0.25">
      <c r="I2289" s="8"/>
      <c r="K2289" s="8"/>
      <c r="L2289" s="8"/>
      <c r="M2289" s="8"/>
      <c r="N2289" s="8"/>
      <c r="O2289" s="8"/>
      <c r="P2289" s="8"/>
      <c r="Q2289" s="8"/>
    </row>
    <row r="2290" spans="9:17" s="1" customFormat="1" x14ac:dyDescent="0.25">
      <c r="I2290" s="8"/>
      <c r="K2290" s="8"/>
      <c r="L2290" s="8"/>
      <c r="M2290" s="8"/>
      <c r="N2290" s="8"/>
      <c r="O2290" s="8"/>
      <c r="P2290" s="8"/>
      <c r="Q2290" s="8"/>
    </row>
    <row r="2291" spans="9:17" s="1" customFormat="1" x14ac:dyDescent="0.25">
      <c r="I2291" s="8"/>
      <c r="K2291" s="8"/>
      <c r="L2291" s="8"/>
      <c r="M2291" s="8"/>
      <c r="N2291" s="8"/>
      <c r="O2291" s="8"/>
      <c r="P2291" s="8"/>
      <c r="Q2291" s="8"/>
    </row>
    <row r="2292" spans="9:17" s="1" customFormat="1" x14ac:dyDescent="0.25">
      <c r="I2292" s="8"/>
      <c r="K2292" s="8"/>
      <c r="L2292" s="8"/>
      <c r="M2292" s="8"/>
      <c r="N2292" s="8"/>
      <c r="O2292" s="8"/>
      <c r="P2292" s="8"/>
      <c r="Q2292" s="8"/>
    </row>
    <row r="2293" spans="9:17" s="1" customFormat="1" x14ac:dyDescent="0.25">
      <c r="I2293" s="8"/>
      <c r="K2293" s="8"/>
      <c r="L2293" s="8"/>
      <c r="M2293" s="8"/>
      <c r="N2293" s="8"/>
      <c r="O2293" s="8"/>
      <c r="P2293" s="8"/>
      <c r="Q2293" s="8"/>
    </row>
    <row r="2294" spans="9:17" s="1" customFormat="1" x14ac:dyDescent="0.25">
      <c r="I2294" s="8"/>
      <c r="K2294" s="8"/>
      <c r="L2294" s="8"/>
      <c r="M2294" s="8"/>
      <c r="N2294" s="8"/>
      <c r="O2294" s="8"/>
      <c r="P2294" s="8"/>
      <c r="Q2294" s="8"/>
    </row>
    <row r="2295" spans="9:17" s="1" customFormat="1" x14ac:dyDescent="0.25">
      <c r="I2295" s="8"/>
      <c r="K2295" s="8"/>
      <c r="L2295" s="8"/>
      <c r="M2295" s="8"/>
      <c r="N2295" s="8"/>
      <c r="O2295" s="8"/>
      <c r="P2295" s="8"/>
      <c r="Q2295" s="8"/>
    </row>
    <row r="2296" spans="9:17" s="1" customFormat="1" x14ac:dyDescent="0.25">
      <c r="I2296" s="8"/>
      <c r="K2296" s="8"/>
      <c r="L2296" s="8"/>
      <c r="M2296" s="8"/>
      <c r="N2296" s="8"/>
      <c r="O2296" s="8"/>
      <c r="P2296" s="8"/>
      <c r="Q2296" s="8"/>
    </row>
    <row r="2297" spans="9:17" s="1" customFormat="1" x14ac:dyDescent="0.25">
      <c r="I2297" s="8"/>
      <c r="K2297" s="8"/>
      <c r="L2297" s="8"/>
      <c r="M2297" s="8"/>
      <c r="N2297" s="8"/>
      <c r="O2297" s="8"/>
      <c r="P2297" s="8"/>
      <c r="Q2297" s="8"/>
    </row>
    <row r="2298" spans="9:17" s="1" customFormat="1" x14ac:dyDescent="0.25">
      <c r="I2298" s="8"/>
      <c r="K2298" s="8"/>
      <c r="L2298" s="8"/>
      <c r="M2298" s="8"/>
      <c r="N2298" s="8"/>
      <c r="O2298" s="8"/>
      <c r="P2298" s="8"/>
      <c r="Q2298" s="8"/>
    </row>
    <row r="2299" spans="9:17" s="1" customFormat="1" x14ac:dyDescent="0.25">
      <c r="I2299" s="8"/>
      <c r="K2299" s="8"/>
      <c r="L2299" s="8"/>
      <c r="M2299" s="8"/>
      <c r="N2299" s="8"/>
      <c r="O2299" s="8"/>
      <c r="P2299" s="8"/>
      <c r="Q2299" s="8"/>
    </row>
    <row r="2300" spans="9:17" s="1" customFormat="1" x14ac:dyDescent="0.25">
      <c r="I2300" s="8"/>
      <c r="K2300" s="8"/>
      <c r="L2300" s="8"/>
      <c r="M2300" s="8"/>
      <c r="N2300" s="8"/>
      <c r="O2300" s="8"/>
      <c r="P2300" s="8"/>
      <c r="Q2300" s="8"/>
    </row>
    <row r="2301" spans="9:17" s="1" customFormat="1" x14ac:dyDescent="0.25">
      <c r="I2301" s="8"/>
      <c r="K2301" s="8"/>
      <c r="L2301" s="8"/>
      <c r="M2301" s="8"/>
      <c r="N2301" s="8"/>
      <c r="O2301" s="8"/>
      <c r="P2301" s="8"/>
      <c r="Q2301" s="8"/>
    </row>
    <row r="2302" spans="9:17" s="1" customFormat="1" x14ac:dyDescent="0.25">
      <c r="I2302" s="8"/>
      <c r="K2302" s="8"/>
      <c r="L2302" s="8"/>
      <c r="M2302" s="8"/>
      <c r="N2302" s="8"/>
      <c r="O2302" s="8"/>
      <c r="P2302" s="8"/>
      <c r="Q2302" s="8"/>
    </row>
    <row r="2303" spans="9:17" s="1" customFormat="1" x14ac:dyDescent="0.25">
      <c r="I2303" s="8"/>
      <c r="K2303" s="8"/>
      <c r="L2303" s="8"/>
      <c r="M2303" s="8"/>
      <c r="N2303" s="8"/>
      <c r="O2303" s="8"/>
      <c r="P2303" s="8"/>
      <c r="Q2303" s="8"/>
    </row>
    <row r="2304" spans="9:17" s="1" customFormat="1" x14ac:dyDescent="0.25">
      <c r="I2304" s="8"/>
      <c r="K2304" s="8"/>
      <c r="L2304" s="8"/>
      <c r="M2304" s="8"/>
      <c r="N2304" s="8"/>
      <c r="O2304" s="8"/>
      <c r="P2304" s="8"/>
      <c r="Q2304" s="8"/>
    </row>
    <row r="2305" spans="9:17" s="1" customFormat="1" x14ac:dyDescent="0.25">
      <c r="I2305" s="8"/>
      <c r="K2305" s="8"/>
      <c r="L2305" s="8"/>
      <c r="M2305" s="8"/>
      <c r="N2305" s="8"/>
      <c r="O2305" s="8"/>
      <c r="P2305" s="8"/>
      <c r="Q2305" s="8"/>
    </row>
    <row r="2306" spans="9:17" s="1" customFormat="1" x14ac:dyDescent="0.25">
      <c r="I2306" s="8"/>
      <c r="K2306" s="8"/>
      <c r="L2306" s="8"/>
      <c r="M2306" s="8"/>
      <c r="N2306" s="8"/>
      <c r="O2306" s="8"/>
      <c r="P2306" s="8"/>
      <c r="Q2306" s="8"/>
    </row>
    <row r="2307" spans="9:17" s="1" customFormat="1" x14ac:dyDescent="0.25">
      <c r="I2307" s="8"/>
      <c r="K2307" s="8"/>
      <c r="L2307" s="8"/>
      <c r="M2307" s="8"/>
      <c r="N2307" s="8"/>
      <c r="O2307" s="8"/>
      <c r="P2307" s="8"/>
      <c r="Q2307" s="8"/>
    </row>
    <row r="2308" spans="9:17" s="1" customFormat="1" x14ac:dyDescent="0.25">
      <c r="I2308" s="8"/>
      <c r="K2308" s="8"/>
      <c r="L2308" s="8"/>
      <c r="M2308" s="8"/>
      <c r="N2308" s="8"/>
      <c r="O2308" s="8"/>
      <c r="P2308" s="8"/>
      <c r="Q2308" s="8"/>
    </row>
    <row r="2309" spans="9:17" s="1" customFormat="1" x14ac:dyDescent="0.25">
      <c r="I2309" s="8"/>
      <c r="K2309" s="8"/>
      <c r="L2309" s="8"/>
      <c r="M2309" s="8"/>
      <c r="N2309" s="8"/>
      <c r="O2309" s="8"/>
      <c r="P2309" s="8"/>
      <c r="Q2309" s="8"/>
    </row>
    <row r="2310" spans="9:17" s="1" customFormat="1" x14ac:dyDescent="0.25">
      <c r="I2310" s="8"/>
      <c r="K2310" s="8"/>
      <c r="L2310" s="8"/>
      <c r="M2310" s="8"/>
      <c r="N2310" s="8"/>
      <c r="O2310" s="8"/>
      <c r="P2310" s="8"/>
      <c r="Q2310" s="8"/>
    </row>
    <row r="2311" spans="9:17" s="1" customFormat="1" x14ac:dyDescent="0.25">
      <c r="I2311" s="8"/>
      <c r="K2311" s="8"/>
      <c r="L2311" s="8"/>
      <c r="M2311" s="8"/>
      <c r="N2311" s="8"/>
      <c r="O2311" s="8"/>
      <c r="P2311" s="8"/>
      <c r="Q2311" s="8"/>
    </row>
    <row r="2312" spans="9:17" s="1" customFormat="1" x14ac:dyDescent="0.25">
      <c r="I2312" s="8"/>
      <c r="K2312" s="8"/>
      <c r="L2312" s="8"/>
      <c r="M2312" s="8"/>
      <c r="N2312" s="8"/>
      <c r="O2312" s="8"/>
      <c r="P2312" s="8"/>
      <c r="Q2312" s="8"/>
    </row>
    <row r="2313" spans="9:17" s="1" customFormat="1" x14ac:dyDescent="0.25">
      <c r="I2313" s="8"/>
      <c r="K2313" s="8"/>
      <c r="L2313" s="8"/>
      <c r="M2313" s="8"/>
      <c r="N2313" s="8"/>
      <c r="O2313" s="8"/>
      <c r="P2313" s="8"/>
      <c r="Q2313" s="8"/>
    </row>
    <row r="2314" spans="9:17" s="1" customFormat="1" x14ac:dyDescent="0.25">
      <c r="I2314" s="8"/>
      <c r="K2314" s="8"/>
      <c r="L2314" s="8"/>
      <c r="M2314" s="8"/>
      <c r="N2314" s="8"/>
      <c r="O2314" s="8"/>
      <c r="P2314" s="8"/>
      <c r="Q2314" s="8"/>
    </row>
    <row r="2315" spans="9:17" s="1" customFormat="1" x14ac:dyDescent="0.25">
      <c r="I2315" s="8"/>
      <c r="K2315" s="8"/>
      <c r="L2315" s="8"/>
      <c r="M2315" s="8"/>
      <c r="N2315" s="8"/>
      <c r="O2315" s="8"/>
      <c r="P2315" s="8"/>
      <c r="Q2315" s="8"/>
    </row>
    <row r="2316" spans="9:17" s="1" customFormat="1" x14ac:dyDescent="0.25">
      <c r="I2316" s="8"/>
      <c r="K2316" s="8"/>
      <c r="L2316" s="8"/>
      <c r="M2316" s="8"/>
      <c r="N2316" s="8"/>
      <c r="O2316" s="8"/>
      <c r="P2316" s="8"/>
      <c r="Q2316" s="8"/>
    </row>
    <row r="2317" spans="9:17" s="1" customFormat="1" x14ac:dyDescent="0.25">
      <c r="I2317" s="8"/>
      <c r="K2317" s="8"/>
      <c r="L2317" s="8"/>
      <c r="M2317" s="8"/>
      <c r="N2317" s="8"/>
      <c r="O2317" s="8"/>
      <c r="P2317" s="8"/>
      <c r="Q2317" s="8"/>
    </row>
    <row r="2318" spans="9:17" s="1" customFormat="1" x14ac:dyDescent="0.25">
      <c r="I2318" s="8"/>
      <c r="K2318" s="8"/>
      <c r="L2318" s="8"/>
      <c r="M2318" s="8"/>
      <c r="N2318" s="8"/>
      <c r="O2318" s="8"/>
      <c r="P2318" s="8"/>
      <c r="Q2318" s="8"/>
    </row>
    <row r="2319" spans="9:17" s="1" customFormat="1" x14ac:dyDescent="0.25">
      <c r="I2319" s="8"/>
      <c r="K2319" s="8"/>
      <c r="L2319" s="8"/>
      <c r="M2319" s="8"/>
      <c r="N2319" s="8"/>
      <c r="O2319" s="8"/>
      <c r="P2319" s="8"/>
      <c r="Q2319" s="8"/>
    </row>
    <row r="2320" spans="9:17" s="1" customFormat="1" x14ac:dyDescent="0.25">
      <c r="I2320" s="8"/>
      <c r="K2320" s="8"/>
      <c r="L2320" s="8"/>
      <c r="M2320" s="8"/>
      <c r="N2320" s="8"/>
      <c r="O2320" s="8"/>
      <c r="P2320" s="8"/>
      <c r="Q2320" s="8"/>
    </row>
    <row r="2321" spans="9:17" s="1" customFormat="1" x14ac:dyDescent="0.25">
      <c r="I2321" s="8"/>
      <c r="K2321" s="8"/>
      <c r="L2321" s="8"/>
      <c r="M2321" s="8"/>
      <c r="N2321" s="8"/>
      <c r="O2321" s="8"/>
      <c r="P2321" s="8"/>
      <c r="Q2321" s="8"/>
    </row>
    <row r="2322" spans="9:17" s="1" customFormat="1" x14ac:dyDescent="0.25">
      <c r="I2322" s="8"/>
      <c r="K2322" s="8"/>
      <c r="L2322" s="8"/>
      <c r="M2322" s="8"/>
      <c r="N2322" s="8"/>
      <c r="O2322" s="8"/>
      <c r="P2322" s="8"/>
      <c r="Q2322" s="8"/>
    </row>
    <row r="2323" spans="9:17" s="1" customFormat="1" x14ac:dyDescent="0.25">
      <c r="I2323" s="8"/>
      <c r="K2323" s="8"/>
      <c r="L2323" s="8"/>
      <c r="M2323" s="8"/>
      <c r="N2323" s="8"/>
      <c r="O2323" s="8"/>
      <c r="P2323" s="8"/>
      <c r="Q2323" s="8"/>
    </row>
    <row r="2324" spans="9:17" s="1" customFormat="1" x14ac:dyDescent="0.25">
      <c r="I2324" s="8"/>
      <c r="K2324" s="8"/>
      <c r="L2324" s="8"/>
      <c r="M2324" s="8"/>
      <c r="N2324" s="8"/>
      <c r="O2324" s="8"/>
      <c r="P2324" s="8"/>
      <c r="Q2324" s="8"/>
    </row>
    <row r="2325" spans="9:17" s="1" customFormat="1" x14ac:dyDescent="0.25">
      <c r="I2325" s="8"/>
      <c r="K2325" s="8"/>
      <c r="L2325" s="8"/>
      <c r="M2325" s="8"/>
      <c r="N2325" s="8"/>
      <c r="O2325" s="8"/>
      <c r="P2325" s="8"/>
      <c r="Q2325" s="8"/>
    </row>
    <row r="2326" spans="9:17" s="1" customFormat="1" x14ac:dyDescent="0.25">
      <c r="I2326" s="8"/>
      <c r="K2326" s="8"/>
      <c r="L2326" s="8"/>
      <c r="M2326" s="8"/>
      <c r="N2326" s="8"/>
      <c r="O2326" s="8"/>
      <c r="P2326" s="8"/>
      <c r="Q2326" s="8"/>
    </row>
    <row r="2327" spans="9:17" s="1" customFormat="1" x14ac:dyDescent="0.25">
      <c r="I2327" s="8"/>
      <c r="K2327" s="8"/>
      <c r="L2327" s="8"/>
      <c r="M2327" s="8"/>
      <c r="N2327" s="8"/>
      <c r="O2327" s="8"/>
      <c r="P2327" s="8"/>
      <c r="Q2327" s="8"/>
    </row>
    <row r="2328" spans="9:17" s="1" customFormat="1" x14ac:dyDescent="0.25">
      <c r="I2328" s="8"/>
      <c r="K2328" s="8"/>
      <c r="L2328" s="8"/>
      <c r="M2328" s="8"/>
      <c r="N2328" s="8"/>
      <c r="O2328" s="8"/>
      <c r="P2328" s="8"/>
      <c r="Q2328" s="8"/>
    </row>
    <row r="2329" spans="9:17" s="1" customFormat="1" x14ac:dyDescent="0.25">
      <c r="I2329" s="8"/>
      <c r="K2329" s="8"/>
      <c r="L2329" s="8"/>
      <c r="M2329" s="8"/>
      <c r="N2329" s="8"/>
      <c r="O2329" s="8"/>
      <c r="P2329" s="8"/>
      <c r="Q2329" s="8"/>
    </row>
    <row r="2330" spans="9:17" s="1" customFormat="1" x14ac:dyDescent="0.25">
      <c r="I2330" s="8"/>
      <c r="K2330" s="8"/>
      <c r="L2330" s="8"/>
      <c r="M2330" s="8"/>
      <c r="N2330" s="8"/>
      <c r="O2330" s="8"/>
      <c r="P2330" s="8"/>
      <c r="Q2330" s="8"/>
    </row>
    <row r="2331" spans="9:17" s="1" customFormat="1" x14ac:dyDescent="0.25">
      <c r="I2331" s="8"/>
      <c r="K2331" s="8"/>
      <c r="L2331" s="8"/>
      <c r="M2331" s="8"/>
      <c r="N2331" s="8"/>
      <c r="O2331" s="8"/>
      <c r="P2331" s="8"/>
      <c r="Q2331" s="8"/>
    </row>
    <row r="2332" spans="9:17" s="1" customFormat="1" x14ac:dyDescent="0.25">
      <c r="I2332" s="8"/>
      <c r="K2332" s="8"/>
      <c r="L2332" s="8"/>
      <c r="M2332" s="8"/>
      <c r="N2332" s="8"/>
      <c r="O2332" s="8"/>
      <c r="P2332" s="8"/>
      <c r="Q2332" s="8"/>
    </row>
    <row r="2333" spans="9:17" s="1" customFormat="1" x14ac:dyDescent="0.25">
      <c r="I2333" s="8"/>
      <c r="K2333" s="8"/>
      <c r="L2333" s="8"/>
      <c r="M2333" s="8"/>
      <c r="N2333" s="8"/>
      <c r="O2333" s="8"/>
      <c r="P2333" s="8"/>
      <c r="Q2333" s="8"/>
    </row>
    <row r="2334" spans="9:17" s="1" customFormat="1" x14ac:dyDescent="0.25">
      <c r="I2334" s="8"/>
      <c r="K2334" s="8"/>
      <c r="L2334" s="8"/>
      <c r="M2334" s="8"/>
      <c r="N2334" s="8"/>
      <c r="O2334" s="8"/>
      <c r="P2334" s="8"/>
      <c r="Q2334" s="8"/>
    </row>
    <row r="2335" spans="9:17" s="1" customFormat="1" x14ac:dyDescent="0.25">
      <c r="I2335" s="8"/>
      <c r="K2335" s="8"/>
      <c r="L2335" s="8"/>
      <c r="M2335" s="8"/>
      <c r="N2335" s="8"/>
      <c r="O2335" s="8"/>
      <c r="P2335" s="8"/>
      <c r="Q2335" s="8"/>
    </row>
    <row r="2336" spans="9:17" s="1" customFormat="1" x14ac:dyDescent="0.25">
      <c r="I2336" s="8"/>
      <c r="K2336" s="8"/>
      <c r="L2336" s="8"/>
      <c r="M2336" s="8"/>
      <c r="N2336" s="8"/>
      <c r="O2336" s="8"/>
      <c r="P2336" s="8"/>
      <c r="Q2336" s="8"/>
    </row>
    <row r="2337" spans="9:17" s="1" customFormat="1" x14ac:dyDescent="0.25">
      <c r="I2337" s="8"/>
      <c r="K2337" s="8"/>
      <c r="L2337" s="8"/>
      <c r="M2337" s="8"/>
      <c r="N2337" s="8"/>
      <c r="O2337" s="8"/>
      <c r="P2337" s="8"/>
      <c r="Q2337" s="8"/>
    </row>
    <row r="2338" spans="9:17" s="1" customFormat="1" x14ac:dyDescent="0.25">
      <c r="I2338" s="8"/>
      <c r="K2338" s="8"/>
      <c r="L2338" s="8"/>
      <c r="M2338" s="8"/>
      <c r="N2338" s="8"/>
      <c r="O2338" s="8"/>
      <c r="P2338" s="8"/>
      <c r="Q2338" s="8"/>
    </row>
    <row r="2339" spans="9:17" s="1" customFormat="1" x14ac:dyDescent="0.25">
      <c r="I2339" s="8"/>
      <c r="K2339" s="8"/>
      <c r="L2339" s="8"/>
      <c r="M2339" s="8"/>
      <c r="N2339" s="8"/>
      <c r="O2339" s="8"/>
      <c r="P2339" s="8"/>
      <c r="Q2339" s="8"/>
    </row>
    <row r="2340" spans="9:17" s="1" customFormat="1" x14ac:dyDescent="0.25">
      <c r="I2340" s="8"/>
      <c r="K2340" s="8"/>
      <c r="L2340" s="8"/>
      <c r="M2340" s="8"/>
      <c r="N2340" s="8"/>
      <c r="O2340" s="8"/>
      <c r="P2340" s="8"/>
      <c r="Q2340" s="8"/>
    </row>
    <row r="2341" spans="9:17" s="1" customFormat="1" x14ac:dyDescent="0.25">
      <c r="I2341" s="8"/>
      <c r="K2341" s="8"/>
      <c r="L2341" s="8"/>
      <c r="M2341" s="8"/>
      <c r="N2341" s="8"/>
      <c r="O2341" s="8"/>
      <c r="P2341" s="8"/>
      <c r="Q2341" s="8"/>
    </row>
    <row r="2342" spans="9:17" s="1" customFormat="1" x14ac:dyDescent="0.25">
      <c r="I2342" s="8"/>
      <c r="K2342" s="8"/>
      <c r="L2342" s="8"/>
      <c r="M2342" s="8"/>
      <c r="N2342" s="8"/>
      <c r="O2342" s="8"/>
      <c r="P2342" s="8"/>
      <c r="Q2342" s="8"/>
    </row>
    <row r="2343" spans="9:17" s="1" customFormat="1" x14ac:dyDescent="0.25">
      <c r="I2343" s="8"/>
      <c r="K2343" s="8"/>
      <c r="L2343" s="8"/>
      <c r="M2343" s="8"/>
      <c r="N2343" s="8"/>
      <c r="O2343" s="8"/>
      <c r="P2343" s="8"/>
      <c r="Q2343" s="8"/>
    </row>
    <row r="2344" spans="9:17" s="1" customFormat="1" x14ac:dyDescent="0.25">
      <c r="I2344" s="8"/>
      <c r="K2344" s="8"/>
      <c r="L2344" s="8"/>
      <c r="M2344" s="8"/>
      <c r="N2344" s="8"/>
      <c r="O2344" s="8"/>
      <c r="P2344" s="8"/>
      <c r="Q2344" s="8"/>
    </row>
    <row r="2345" spans="9:17" s="1" customFormat="1" x14ac:dyDescent="0.25">
      <c r="I2345" s="8"/>
      <c r="K2345" s="8"/>
      <c r="L2345" s="8"/>
      <c r="M2345" s="8"/>
      <c r="N2345" s="8"/>
      <c r="O2345" s="8"/>
      <c r="P2345" s="8"/>
      <c r="Q2345" s="8"/>
    </row>
    <row r="2346" spans="9:17" s="1" customFormat="1" x14ac:dyDescent="0.25">
      <c r="I2346" s="8"/>
      <c r="K2346" s="8"/>
      <c r="L2346" s="8"/>
      <c r="M2346" s="8"/>
      <c r="N2346" s="8"/>
      <c r="O2346" s="8"/>
      <c r="P2346" s="8"/>
      <c r="Q2346" s="8"/>
    </row>
    <row r="2347" spans="9:17" s="1" customFormat="1" x14ac:dyDescent="0.25">
      <c r="I2347" s="8"/>
      <c r="K2347" s="8"/>
      <c r="L2347" s="8"/>
      <c r="M2347" s="8"/>
      <c r="N2347" s="8"/>
      <c r="O2347" s="8"/>
      <c r="P2347" s="8"/>
      <c r="Q2347" s="8"/>
    </row>
    <row r="2348" spans="9:17" s="1" customFormat="1" x14ac:dyDescent="0.25">
      <c r="I2348" s="8"/>
      <c r="K2348" s="8"/>
      <c r="L2348" s="8"/>
      <c r="M2348" s="8"/>
      <c r="N2348" s="8"/>
      <c r="O2348" s="8"/>
      <c r="P2348" s="8"/>
      <c r="Q2348" s="8"/>
    </row>
    <row r="2349" spans="9:17" s="1" customFormat="1" x14ac:dyDescent="0.25">
      <c r="I2349" s="8"/>
      <c r="K2349" s="8"/>
      <c r="L2349" s="8"/>
      <c r="M2349" s="8"/>
      <c r="N2349" s="8"/>
      <c r="O2349" s="8"/>
      <c r="P2349" s="8"/>
      <c r="Q2349" s="8"/>
    </row>
    <row r="2350" spans="9:17" s="1" customFormat="1" x14ac:dyDescent="0.25">
      <c r="I2350" s="8"/>
      <c r="K2350" s="8"/>
      <c r="L2350" s="8"/>
      <c r="M2350" s="8"/>
      <c r="N2350" s="8"/>
      <c r="O2350" s="8"/>
      <c r="P2350" s="8"/>
      <c r="Q2350" s="8"/>
    </row>
    <row r="2351" spans="9:17" s="1" customFormat="1" x14ac:dyDescent="0.25">
      <c r="I2351" s="8"/>
      <c r="K2351" s="8"/>
      <c r="L2351" s="8"/>
      <c r="M2351" s="8"/>
      <c r="N2351" s="8"/>
      <c r="O2351" s="8"/>
      <c r="P2351" s="8"/>
      <c r="Q2351" s="8"/>
    </row>
    <row r="2352" spans="9:17" s="1" customFormat="1" x14ac:dyDescent="0.25">
      <c r="I2352" s="8"/>
      <c r="K2352" s="8"/>
      <c r="L2352" s="8"/>
      <c r="M2352" s="8"/>
      <c r="N2352" s="8"/>
      <c r="O2352" s="8"/>
      <c r="P2352" s="8"/>
      <c r="Q2352" s="8"/>
    </row>
    <row r="2353" spans="9:17" s="1" customFormat="1" x14ac:dyDescent="0.25">
      <c r="I2353" s="8"/>
      <c r="K2353" s="8"/>
      <c r="L2353" s="8"/>
      <c r="M2353" s="8"/>
      <c r="N2353" s="8"/>
      <c r="O2353" s="8"/>
      <c r="P2353" s="8"/>
      <c r="Q2353" s="8"/>
    </row>
    <row r="2354" spans="9:17" s="1" customFormat="1" x14ac:dyDescent="0.25">
      <c r="I2354" s="8"/>
      <c r="K2354" s="8"/>
      <c r="L2354" s="8"/>
      <c r="M2354" s="8"/>
      <c r="N2354" s="8"/>
      <c r="O2354" s="8"/>
      <c r="P2354" s="8"/>
      <c r="Q2354" s="8"/>
    </row>
    <row r="2355" spans="9:17" s="1" customFormat="1" x14ac:dyDescent="0.25">
      <c r="I2355" s="8"/>
      <c r="K2355" s="8"/>
      <c r="L2355" s="8"/>
      <c r="M2355" s="8"/>
      <c r="N2355" s="8"/>
      <c r="O2355" s="8"/>
      <c r="P2355" s="8"/>
      <c r="Q2355" s="8"/>
    </row>
    <row r="2356" spans="9:17" s="1" customFormat="1" x14ac:dyDescent="0.25">
      <c r="I2356" s="8"/>
      <c r="K2356" s="8"/>
      <c r="L2356" s="8"/>
      <c r="M2356" s="8"/>
      <c r="N2356" s="8"/>
      <c r="O2356" s="8"/>
      <c r="P2356" s="8"/>
      <c r="Q2356" s="8"/>
    </row>
    <row r="2357" spans="9:17" s="1" customFormat="1" x14ac:dyDescent="0.25">
      <c r="I2357" s="8"/>
      <c r="K2357" s="8"/>
      <c r="L2357" s="8"/>
      <c r="M2357" s="8"/>
      <c r="N2357" s="8"/>
      <c r="O2357" s="8"/>
      <c r="P2357" s="8"/>
      <c r="Q2357" s="8"/>
    </row>
    <row r="2358" spans="9:17" s="1" customFormat="1" x14ac:dyDescent="0.25">
      <c r="I2358" s="8"/>
      <c r="K2358" s="8"/>
      <c r="L2358" s="8"/>
      <c r="M2358" s="8"/>
      <c r="N2358" s="8"/>
      <c r="O2358" s="8"/>
      <c r="P2358" s="8"/>
      <c r="Q2358" s="8"/>
    </row>
    <row r="2359" spans="9:17" s="1" customFormat="1" x14ac:dyDescent="0.25">
      <c r="I2359" s="8"/>
      <c r="K2359" s="8"/>
      <c r="L2359" s="8"/>
      <c r="M2359" s="8"/>
      <c r="N2359" s="8"/>
      <c r="O2359" s="8"/>
      <c r="P2359" s="8"/>
      <c r="Q2359" s="8"/>
    </row>
    <row r="2360" spans="9:17" s="1" customFormat="1" x14ac:dyDescent="0.25">
      <c r="I2360" s="8"/>
      <c r="K2360" s="8"/>
      <c r="L2360" s="8"/>
      <c r="M2360" s="8"/>
      <c r="N2360" s="8"/>
      <c r="O2360" s="8"/>
      <c r="P2360" s="8"/>
      <c r="Q2360" s="8"/>
    </row>
    <row r="2361" spans="9:17" s="1" customFormat="1" x14ac:dyDescent="0.25">
      <c r="I2361" s="8"/>
      <c r="K2361" s="8"/>
      <c r="L2361" s="8"/>
      <c r="M2361" s="8"/>
      <c r="N2361" s="8"/>
      <c r="O2361" s="8"/>
      <c r="P2361" s="8"/>
      <c r="Q2361" s="8"/>
    </row>
    <row r="2362" spans="9:17" s="1" customFormat="1" x14ac:dyDescent="0.25">
      <c r="I2362" s="8"/>
      <c r="K2362" s="8"/>
      <c r="L2362" s="8"/>
      <c r="M2362" s="8"/>
      <c r="N2362" s="8"/>
      <c r="O2362" s="8"/>
      <c r="P2362" s="8"/>
      <c r="Q2362" s="8"/>
    </row>
    <row r="2363" spans="9:17" s="1" customFormat="1" x14ac:dyDescent="0.25">
      <c r="I2363" s="8"/>
      <c r="K2363" s="8"/>
      <c r="L2363" s="8"/>
      <c r="M2363" s="8"/>
      <c r="N2363" s="8"/>
      <c r="O2363" s="8"/>
      <c r="P2363" s="8"/>
      <c r="Q2363" s="8"/>
    </row>
    <row r="2364" spans="9:17" s="1" customFormat="1" x14ac:dyDescent="0.25">
      <c r="I2364" s="8"/>
      <c r="K2364" s="8"/>
      <c r="L2364" s="8"/>
      <c r="M2364" s="8"/>
      <c r="N2364" s="8"/>
      <c r="O2364" s="8"/>
      <c r="P2364" s="8"/>
      <c r="Q2364" s="8"/>
    </row>
    <row r="2365" spans="9:17" s="1" customFormat="1" x14ac:dyDescent="0.25">
      <c r="I2365" s="8"/>
      <c r="K2365" s="8"/>
      <c r="L2365" s="8"/>
      <c r="M2365" s="8"/>
      <c r="N2365" s="8"/>
      <c r="O2365" s="8"/>
      <c r="P2365" s="8"/>
      <c r="Q2365" s="8"/>
    </row>
    <row r="2366" spans="9:17" s="1" customFormat="1" x14ac:dyDescent="0.25">
      <c r="I2366" s="8"/>
      <c r="K2366" s="8"/>
      <c r="L2366" s="8"/>
      <c r="M2366" s="8"/>
      <c r="N2366" s="8"/>
      <c r="O2366" s="8"/>
      <c r="P2366" s="8"/>
      <c r="Q2366" s="8"/>
    </row>
    <row r="2367" spans="9:17" s="1" customFormat="1" x14ac:dyDescent="0.25">
      <c r="I2367" s="8"/>
      <c r="K2367" s="8"/>
      <c r="L2367" s="8"/>
      <c r="M2367" s="8"/>
      <c r="N2367" s="8"/>
      <c r="O2367" s="8"/>
      <c r="P2367" s="8"/>
      <c r="Q2367" s="8"/>
    </row>
    <row r="2368" spans="9:17" s="1" customFormat="1" x14ac:dyDescent="0.25">
      <c r="I2368" s="8"/>
      <c r="K2368" s="8"/>
      <c r="L2368" s="8"/>
      <c r="M2368" s="8"/>
      <c r="N2368" s="8"/>
      <c r="O2368" s="8"/>
      <c r="P2368" s="8"/>
      <c r="Q2368" s="8"/>
    </row>
    <row r="2369" spans="9:17" s="1" customFormat="1" x14ac:dyDescent="0.25">
      <c r="I2369" s="8"/>
      <c r="K2369" s="8"/>
      <c r="L2369" s="8"/>
      <c r="M2369" s="8"/>
      <c r="N2369" s="8"/>
      <c r="O2369" s="8"/>
      <c r="P2369" s="8"/>
      <c r="Q2369" s="8"/>
    </row>
    <row r="2370" spans="9:17" s="1" customFormat="1" x14ac:dyDescent="0.25">
      <c r="I2370" s="8"/>
      <c r="K2370" s="8"/>
      <c r="L2370" s="8"/>
      <c r="M2370" s="8"/>
      <c r="N2370" s="8"/>
      <c r="O2370" s="8"/>
      <c r="P2370" s="8"/>
      <c r="Q2370" s="8"/>
    </row>
    <row r="2371" spans="9:17" s="1" customFormat="1" x14ac:dyDescent="0.25">
      <c r="I2371" s="8"/>
      <c r="K2371" s="8"/>
      <c r="L2371" s="8"/>
      <c r="M2371" s="8"/>
      <c r="N2371" s="8"/>
      <c r="O2371" s="8"/>
      <c r="P2371" s="8"/>
      <c r="Q2371" s="8"/>
    </row>
    <row r="2372" spans="9:17" s="1" customFormat="1" x14ac:dyDescent="0.25">
      <c r="I2372" s="8"/>
      <c r="K2372" s="8"/>
      <c r="L2372" s="8"/>
      <c r="M2372" s="8"/>
      <c r="N2372" s="8"/>
      <c r="O2372" s="8"/>
      <c r="P2372" s="8"/>
      <c r="Q2372" s="8"/>
    </row>
    <row r="2373" spans="9:17" s="1" customFormat="1" x14ac:dyDescent="0.25">
      <c r="I2373" s="8"/>
      <c r="K2373" s="8"/>
      <c r="L2373" s="8"/>
      <c r="M2373" s="8"/>
      <c r="N2373" s="8"/>
      <c r="O2373" s="8"/>
      <c r="P2373" s="8"/>
      <c r="Q2373" s="8"/>
    </row>
    <row r="2374" spans="9:17" s="1" customFormat="1" x14ac:dyDescent="0.25">
      <c r="I2374" s="8"/>
      <c r="K2374" s="8"/>
      <c r="L2374" s="8"/>
      <c r="M2374" s="8"/>
      <c r="N2374" s="8"/>
      <c r="O2374" s="8"/>
      <c r="P2374" s="8"/>
      <c r="Q2374" s="8"/>
    </row>
    <row r="2375" spans="9:17" s="1" customFormat="1" x14ac:dyDescent="0.25">
      <c r="I2375" s="8"/>
      <c r="K2375" s="8"/>
      <c r="L2375" s="8"/>
      <c r="M2375" s="8"/>
      <c r="N2375" s="8"/>
      <c r="O2375" s="8"/>
      <c r="P2375" s="8"/>
      <c r="Q2375" s="8"/>
    </row>
    <row r="2376" spans="9:17" s="1" customFormat="1" x14ac:dyDescent="0.25">
      <c r="I2376" s="8"/>
      <c r="K2376" s="8"/>
      <c r="L2376" s="8"/>
      <c r="M2376" s="8"/>
      <c r="N2376" s="8"/>
      <c r="O2376" s="8"/>
      <c r="P2376" s="8"/>
      <c r="Q2376" s="8"/>
    </row>
    <row r="2377" spans="9:17" s="1" customFormat="1" x14ac:dyDescent="0.25">
      <c r="I2377" s="8"/>
      <c r="K2377" s="8"/>
      <c r="L2377" s="8"/>
      <c r="M2377" s="8"/>
      <c r="N2377" s="8"/>
      <c r="O2377" s="8"/>
      <c r="P2377" s="8"/>
      <c r="Q2377" s="8"/>
    </row>
    <row r="2378" spans="9:17" s="1" customFormat="1" x14ac:dyDescent="0.25">
      <c r="I2378" s="8"/>
      <c r="K2378" s="8"/>
      <c r="L2378" s="8"/>
      <c r="M2378" s="8"/>
      <c r="N2378" s="8"/>
      <c r="O2378" s="8"/>
      <c r="P2378" s="8"/>
      <c r="Q2378" s="8"/>
    </row>
    <row r="2379" spans="9:17" s="1" customFormat="1" x14ac:dyDescent="0.25">
      <c r="I2379" s="8"/>
      <c r="K2379" s="8"/>
      <c r="L2379" s="8"/>
      <c r="M2379" s="8"/>
      <c r="N2379" s="8"/>
      <c r="O2379" s="8"/>
      <c r="P2379" s="8"/>
      <c r="Q2379" s="8"/>
    </row>
    <row r="2380" spans="9:17" s="1" customFormat="1" x14ac:dyDescent="0.25">
      <c r="I2380" s="8"/>
      <c r="K2380" s="8"/>
      <c r="L2380" s="8"/>
      <c r="M2380" s="8"/>
      <c r="N2380" s="8"/>
      <c r="O2380" s="8"/>
      <c r="P2380" s="8"/>
      <c r="Q2380" s="8"/>
    </row>
    <row r="2381" spans="9:17" s="1" customFormat="1" x14ac:dyDescent="0.25">
      <c r="I2381" s="8"/>
      <c r="K2381" s="8"/>
      <c r="L2381" s="8"/>
      <c r="M2381" s="8"/>
      <c r="N2381" s="8"/>
      <c r="O2381" s="8"/>
      <c r="P2381" s="8"/>
      <c r="Q2381" s="8"/>
    </row>
    <row r="2382" spans="9:17" s="1" customFormat="1" x14ac:dyDescent="0.25">
      <c r="I2382" s="8"/>
      <c r="K2382" s="8"/>
      <c r="L2382" s="8"/>
      <c r="M2382" s="8"/>
      <c r="N2382" s="8"/>
      <c r="O2382" s="8"/>
      <c r="P2382" s="8"/>
      <c r="Q2382" s="8"/>
    </row>
    <row r="2383" spans="9:17" s="1" customFormat="1" x14ac:dyDescent="0.25">
      <c r="I2383" s="8"/>
      <c r="K2383" s="8"/>
      <c r="L2383" s="8"/>
      <c r="M2383" s="8"/>
      <c r="N2383" s="8"/>
      <c r="O2383" s="8"/>
      <c r="P2383" s="8"/>
      <c r="Q2383" s="8"/>
    </row>
    <row r="2384" spans="9:17" s="1" customFormat="1" x14ac:dyDescent="0.25">
      <c r="I2384" s="8"/>
      <c r="K2384" s="8"/>
      <c r="L2384" s="8"/>
      <c r="M2384" s="8"/>
      <c r="N2384" s="8"/>
      <c r="O2384" s="8"/>
      <c r="P2384" s="8"/>
      <c r="Q2384" s="8"/>
    </row>
    <row r="2385" spans="9:17" s="1" customFormat="1" x14ac:dyDescent="0.25">
      <c r="I2385" s="8"/>
      <c r="K2385" s="8"/>
      <c r="L2385" s="8"/>
      <c r="M2385" s="8"/>
      <c r="N2385" s="8"/>
      <c r="O2385" s="8"/>
      <c r="P2385" s="8"/>
      <c r="Q2385" s="8"/>
    </row>
    <row r="2386" spans="9:17" s="1" customFormat="1" x14ac:dyDescent="0.25">
      <c r="I2386" s="8"/>
      <c r="K2386" s="8"/>
      <c r="L2386" s="8"/>
      <c r="M2386" s="8"/>
      <c r="N2386" s="8"/>
      <c r="O2386" s="8"/>
      <c r="P2386" s="8"/>
      <c r="Q2386" s="8"/>
    </row>
    <row r="2387" spans="9:17" s="1" customFormat="1" x14ac:dyDescent="0.25">
      <c r="I2387" s="8"/>
      <c r="K2387" s="8"/>
      <c r="L2387" s="8"/>
      <c r="M2387" s="8"/>
      <c r="N2387" s="8"/>
      <c r="O2387" s="8"/>
      <c r="P2387" s="8"/>
      <c r="Q2387" s="8"/>
    </row>
    <row r="2388" spans="9:17" s="1" customFormat="1" x14ac:dyDescent="0.25">
      <c r="I2388" s="8"/>
      <c r="K2388" s="8"/>
      <c r="L2388" s="8"/>
      <c r="M2388" s="8"/>
      <c r="N2388" s="8"/>
      <c r="O2388" s="8"/>
      <c r="P2388" s="8"/>
      <c r="Q2388" s="8"/>
    </row>
    <row r="2389" spans="9:17" s="1" customFormat="1" x14ac:dyDescent="0.25">
      <c r="I2389" s="8"/>
      <c r="K2389" s="8"/>
      <c r="L2389" s="8"/>
      <c r="M2389" s="8"/>
      <c r="N2389" s="8"/>
      <c r="O2389" s="8"/>
      <c r="P2389" s="8"/>
      <c r="Q2389" s="8"/>
    </row>
    <row r="2390" spans="9:17" s="1" customFormat="1" x14ac:dyDescent="0.25">
      <c r="I2390" s="8"/>
      <c r="K2390" s="8"/>
      <c r="L2390" s="8"/>
      <c r="M2390" s="8"/>
      <c r="N2390" s="8"/>
      <c r="O2390" s="8"/>
      <c r="P2390" s="8"/>
      <c r="Q2390" s="8"/>
    </row>
    <row r="2391" spans="9:17" s="1" customFormat="1" x14ac:dyDescent="0.25">
      <c r="I2391" s="8"/>
      <c r="K2391" s="8"/>
      <c r="L2391" s="8"/>
      <c r="M2391" s="8"/>
      <c r="N2391" s="8"/>
      <c r="O2391" s="8"/>
      <c r="P2391" s="8"/>
      <c r="Q2391" s="8"/>
    </row>
    <row r="2392" spans="9:17" s="1" customFormat="1" x14ac:dyDescent="0.25">
      <c r="I2392" s="8"/>
      <c r="K2392" s="8"/>
      <c r="L2392" s="8"/>
      <c r="M2392" s="8"/>
      <c r="N2392" s="8"/>
      <c r="O2392" s="8"/>
      <c r="P2392" s="8"/>
      <c r="Q2392" s="8"/>
    </row>
    <row r="2393" spans="9:17" s="1" customFormat="1" x14ac:dyDescent="0.25">
      <c r="I2393" s="8"/>
      <c r="K2393" s="8"/>
      <c r="L2393" s="8"/>
      <c r="M2393" s="8"/>
      <c r="N2393" s="8"/>
      <c r="O2393" s="8"/>
      <c r="P2393" s="8"/>
      <c r="Q2393" s="8"/>
    </row>
    <row r="2394" spans="9:17" s="1" customFormat="1" x14ac:dyDescent="0.25">
      <c r="I2394" s="8"/>
      <c r="K2394" s="8"/>
      <c r="L2394" s="8"/>
      <c r="M2394" s="8"/>
      <c r="N2394" s="8"/>
      <c r="O2394" s="8"/>
      <c r="P2394" s="8"/>
      <c r="Q2394" s="8"/>
    </row>
    <row r="2395" spans="9:17" s="1" customFormat="1" x14ac:dyDescent="0.25">
      <c r="I2395" s="8"/>
      <c r="K2395" s="8"/>
      <c r="L2395" s="8"/>
      <c r="M2395" s="8"/>
      <c r="N2395" s="8"/>
      <c r="O2395" s="8"/>
      <c r="P2395" s="8"/>
      <c r="Q2395" s="8"/>
    </row>
    <row r="2396" spans="9:17" s="1" customFormat="1" x14ac:dyDescent="0.25">
      <c r="I2396" s="8"/>
      <c r="K2396" s="8"/>
      <c r="L2396" s="8"/>
      <c r="M2396" s="8"/>
      <c r="N2396" s="8"/>
      <c r="O2396" s="8"/>
      <c r="P2396" s="8"/>
      <c r="Q2396" s="8"/>
    </row>
    <row r="2397" spans="9:17" s="1" customFormat="1" x14ac:dyDescent="0.25">
      <c r="I2397" s="8"/>
      <c r="K2397" s="8"/>
      <c r="L2397" s="8"/>
      <c r="M2397" s="8"/>
      <c r="N2397" s="8"/>
      <c r="O2397" s="8"/>
      <c r="P2397" s="8"/>
      <c r="Q2397" s="8"/>
    </row>
    <row r="2398" spans="9:17" s="1" customFormat="1" x14ac:dyDescent="0.25">
      <c r="I2398" s="8"/>
      <c r="K2398" s="8"/>
      <c r="L2398" s="8"/>
      <c r="M2398" s="8"/>
      <c r="N2398" s="8"/>
      <c r="O2398" s="8"/>
      <c r="P2398" s="8"/>
      <c r="Q2398" s="8"/>
    </row>
    <row r="2399" spans="9:17" s="1" customFormat="1" x14ac:dyDescent="0.25">
      <c r="I2399" s="8"/>
      <c r="K2399" s="8"/>
      <c r="L2399" s="8"/>
      <c r="M2399" s="8"/>
      <c r="N2399" s="8"/>
      <c r="O2399" s="8"/>
      <c r="P2399" s="8"/>
      <c r="Q2399" s="8"/>
    </row>
    <row r="2400" spans="9:17" s="1" customFormat="1" x14ac:dyDescent="0.25">
      <c r="I2400" s="8"/>
      <c r="K2400" s="8"/>
      <c r="L2400" s="8"/>
      <c r="M2400" s="8"/>
      <c r="N2400" s="8"/>
      <c r="O2400" s="8"/>
      <c r="P2400" s="8"/>
      <c r="Q2400" s="8"/>
    </row>
    <row r="2401" spans="9:17" s="1" customFormat="1" x14ac:dyDescent="0.25">
      <c r="I2401" s="8"/>
      <c r="K2401" s="8"/>
      <c r="L2401" s="8"/>
      <c r="M2401" s="8"/>
      <c r="N2401" s="8"/>
      <c r="O2401" s="8"/>
      <c r="P2401" s="8"/>
      <c r="Q2401" s="8"/>
    </row>
    <row r="2402" spans="9:17" s="1" customFormat="1" x14ac:dyDescent="0.25">
      <c r="I2402" s="8"/>
      <c r="K2402" s="8"/>
      <c r="L2402" s="8"/>
      <c r="M2402" s="8"/>
      <c r="N2402" s="8"/>
      <c r="O2402" s="8"/>
      <c r="P2402" s="8"/>
      <c r="Q2402" s="8"/>
    </row>
    <row r="2403" spans="9:17" s="1" customFormat="1" x14ac:dyDescent="0.25">
      <c r="I2403" s="8"/>
      <c r="K2403" s="8"/>
      <c r="L2403" s="8"/>
      <c r="M2403" s="8"/>
      <c r="N2403" s="8"/>
      <c r="O2403" s="8"/>
      <c r="P2403" s="8"/>
      <c r="Q2403" s="8"/>
    </row>
    <row r="2404" spans="9:17" s="1" customFormat="1" x14ac:dyDescent="0.25">
      <c r="I2404" s="8"/>
      <c r="K2404" s="8"/>
      <c r="L2404" s="8"/>
      <c r="M2404" s="8"/>
      <c r="N2404" s="8"/>
      <c r="O2404" s="8"/>
      <c r="P2404" s="8"/>
      <c r="Q2404" s="8"/>
    </row>
    <row r="2405" spans="9:17" s="1" customFormat="1" x14ac:dyDescent="0.25">
      <c r="I2405" s="8"/>
      <c r="K2405" s="8"/>
      <c r="L2405" s="8"/>
      <c r="M2405" s="8"/>
      <c r="N2405" s="8"/>
      <c r="O2405" s="8"/>
      <c r="P2405" s="8"/>
      <c r="Q2405" s="8"/>
    </row>
    <row r="2406" spans="9:17" s="1" customFormat="1" x14ac:dyDescent="0.25">
      <c r="I2406" s="8"/>
      <c r="K2406" s="8"/>
      <c r="L2406" s="8"/>
      <c r="M2406" s="8"/>
      <c r="N2406" s="8"/>
      <c r="O2406" s="8"/>
      <c r="P2406" s="8"/>
      <c r="Q2406" s="8"/>
    </row>
    <row r="2407" spans="9:17" s="1" customFormat="1" x14ac:dyDescent="0.25">
      <c r="I2407" s="8"/>
      <c r="K2407" s="8"/>
      <c r="L2407" s="8"/>
      <c r="M2407" s="8"/>
      <c r="N2407" s="8"/>
      <c r="O2407" s="8"/>
      <c r="P2407" s="8"/>
      <c r="Q2407" s="8"/>
    </row>
    <row r="2408" spans="9:17" s="1" customFormat="1" x14ac:dyDescent="0.25">
      <c r="I2408" s="8"/>
      <c r="K2408" s="8"/>
      <c r="L2408" s="8"/>
      <c r="M2408" s="8"/>
      <c r="N2408" s="8"/>
      <c r="O2408" s="8"/>
      <c r="P2408" s="8"/>
      <c r="Q2408" s="8"/>
    </row>
    <row r="2409" spans="9:17" s="1" customFormat="1" x14ac:dyDescent="0.25">
      <c r="I2409" s="8"/>
      <c r="K2409" s="8"/>
      <c r="L2409" s="8"/>
      <c r="M2409" s="8"/>
      <c r="N2409" s="8"/>
      <c r="O2409" s="8"/>
      <c r="P2409" s="8"/>
      <c r="Q2409" s="8"/>
    </row>
    <row r="2410" spans="9:17" s="1" customFormat="1" x14ac:dyDescent="0.25">
      <c r="I2410" s="8"/>
      <c r="K2410" s="8"/>
      <c r="L2410" s="8"/>
      <c r="M2410" s="8"/>
      <c r="N2410" s="8"/>
      <c r="O2410" s="8"/>
      <c r="P2410" s="8"/>
      <c r="Q2410" s="8"/>
    </row>
    <row r="2411" spans="9:17" s="1" customFormat="1" x14ac:dyDescent="0.25">
      <c r="I2411" s="8"/>
      <c r="K2411" s="8"/>
      <c r="L2411" s="8"/>
      <c r="M2411" s="8"/>
      <c r="N2411" s="8"/>
      <c r="O2411" s="8"/>
      <c r="P2411" s="8"/>
      <c r="Q2411" s="8"/>
    </row>
    <row r="2412" spans="9:17" s="1" customFormat="1" x14ac:dyDescent="0.25">
      <c r="I2412" s="8"/>
      <c r="K2412" s="8"/>
      <c r="L2412" s="8"/>
      <c r="M2412" s="8"/>
      <c r="N2412" s="8"/>
      <c r="O2412" s="8"/>
      <c r="P2412" s="8"/>
      <c r="Q2412" s="8"/>
    </row>
    <row r="2413" spans="9:17" s="1" customFormat="1" x14ac:dyDescent="0.25">
      <c r="I2413" s="8"/>
      <c r="K2413" s="8"/>
      <c r="L2413" s="8"/>
      <c r="M2413" s="8"/>
      <c r="N2413" s="8"/>
      <c r="O2413" s="8"/>
      <c r="P2413" s="8"/>
      <c r="Q2413" s="8"/>
    </row>
    <row r="2414" spans="9:17" s="1" customFormat="1" x14ac:dyDescent="0.25">
      <c r="I2414" s="8"/>
      <c r="K2414" s="8"/>
      <c r="L2414" s="8"/>
      <c r="M2414" s="8"/>
      <c r="N2414" s="8"/>
      <c r="O2414" s="8"/>
      <c r="P2414" s="8"/>
      <c r="Q2414" s="8"/>
    </row>
    <row r="2415" spans="9:17" s="1" customFormat="1" x14ac:dyDescent="0.25">
      <c r="I2415" s="8"/>
      <c r="K2415" s="8"/>
      <c r="L2415" s="8"/>
      <c r="M2415" s="8"/>
      <c r="N2415" s="8"/>
      <c r="O2415" s="8"/>
      <c r="P2415" s="8"/>
      <c r="Q2415" s="8"/>
    </row>
    <row r="2416" spans="9:17" s="1" customFormat="1" x14ac:dyDescent="0.25">
      <c r="I2416" s="8"/>
      <c r="K2416" s="8"/>
      <c r="L2416" s="8"/>
      <c r="M2416" s="8"/>
      <c r="N2416" s="8"/>
      <c r="O2416" s="8"/>
      <c r="P2416" s="8"/>
      <c r="Q2416" s="8"/>
    </row>
    <row r="2417" spans="9:17" s="1" customFormat="1" x14ac:dyDescent="0.25">
      <c r="I2417" s="8"/>
      <c r="K2417" s="8"/>
      <c r="L2417" s="8"/>
      <c r="M2417" s="8"/>
      <c r="N2417" s="8"/>
      <c r="O2417" s="8"/>
      <c r="P2417" s="8"/>
      <c r="Q2417" s="8"/>
    </row>
    <row r="2418" spans="9:17" s="1" customFormat="1" x14ac:dyDescent="0.25">
      <c r="I2418" s="8"/>
      <c r="K2418" s="8"/>
      <c r="L2418" s="8"/>
      <c r="M2418" s="8"/>
      <c r="N2418" s="8"/>
      <c r="O2418" s="8"/>
      <c r="P2418" s="8"/>
      <c r="Q2418" s="8"/>
    </row>
    <row r="2419" spans="9:17" s="1" customFormat="1" x14ac:dyDescent="0.25">
      <c r="I2419" s="8"/>
      <c r="K2419" s="8"/>
      <c r="L2419" s="8"/>
      <c r="M2419" s="8"/>
      <c r="N2419" s="8"/>
      <c r="O2419" s="8"/>
      <c r="P2419" s="8"/>
      <c r="Q2419" s="8"/>
    </row>
    <row r="2420" spans="9:17" s="1" customFormat="1" x14ac:dyDescent="0.25">
      <c r="I2420" s="8"/>
      <c r="K2420" s="8"/>
      <c r="L2420" s="8"/>
      <c r="M2420" s="8"/>
      <c r="N2420" s="8"/>
      <c r="O2420" s="8"/>
      <c r="P2420" s="8"/>
      <c r="Q2420" s="8"/>
    </row>
    <row r="2421" spans="9:17" s="1" customFormat="1" x14ac:dyDescent="0.25">
      <c r="I2421" s="8"/>
      <c r="K2421" s="8"/>
      <c r="L2421" s="8"/>
      <c r="M2421" s="8"/>
      <c r="N2421" s="8"/>
      <c r="O2421" s="8"/>
      <c r="P2421" s="8"/>
      <c r="Q2421" s="8"/>
    </row>
    <row r="2422" spans="9:17" s="1" customFormat="1" x14ac:dyDescent="0.25">
      <c r="I2422" s="8"/>
      <c r="K2422" s="8"/>
      <c r="L2422" s="8"/>
      <c r="M2422" s="8"/>
      <c r="N2422" s="8"/>
      <c r="O2422" s="8"/>
      <c r="P2422" s="8"/>
      <c r="Q2422" s="8"/>
    </row>
    <row r="2423" spans="9:17" s="1" customFormat="1" x14ac:dyDescent="0.25">
      <c r="I2423" s="8"/>
      <c r="K2423" s="8"/>
      <c r="L2423" s="8"/>
      <c r="M2423" s="8"/>
      <c r="N2423" s="8"/>
      <c r="O2423" s="8"/>
      <c r="P2423" s="8"/>
      <c r="Q2423" s="8"/>
    </row>
    <row r="2424" spans="9:17" s="1" customFormat="1" x14ac:dyDescent="0.25">
      <c r="I2424" s="8"/>
      <c r="K2424" s="8"/>
      <c r="L2424" s="8"/>
      <c r="M2424" s="8"/>
      <c r="N2424" s="8"/>
      <c r="O2424" s="8"/>
      <c r="P2424" s="8"/>
      <c r="Q2424" s="8"/>
    </row>
    <row r="2425" spans="9:17" s="1" customFormat="1" x14ac:dyDescent="0.25">
      <c r="I2425" s="8"/>
      <c r="K2425" s="8"/>
      <c r="L2425" s="8"/>
      <c r="M2425" s="8"/>
      <c r="N2425" s="8"/>
      <c r="O2425" s="8"/>
      <c r="P2425" s="8"/>
      <c r="Q2425" s="8"/>
    </row>
    <row r="2426" spans="9:17" s="1" customFormat="1" x14ac:dyDescent="0.25">
      <c r="I2426" s="8"/>
      <c r="K2426" s="8"/>
      <c r="L2426" s="8"/>
      <c r="M2426" s="8"/>
      <c r="N2426" s="8"/>
      <c r="O2426" s="8"/>
      <c r="P2426" s="8"/>
      <c r="Q2426" s="8"/>
    </row>
    <row r="2427" spans="9:17" s="1" customFormat="1" x14ac:dyDescent="0.25">
      <c r="I2427" s="8"/>
      <c r="K2427" s="8"/>
      <c r="L2427" s="8"/>
      <c r="M2427" s="8"/>
      <c r="N2427" s="8"/>
      <c r="O2427" s="8"/>
      <c r="P2427" s="8"/>
      <c r="Q2427" s="8"/>
    </row>
    <row r="2428" spans="9:17" s="1" customFormat="1" x14ac:dyDescent="0.25">
      <c r="I2428" s="8"/>
      <c r="K2428" s="8"/>
      <c r="L2428" s="8"/>
      <c r="M2428" s="8"/>
      <c r="N2428" s="8"/>
      <c r="O2428" s="8"/>
      <c r="P2428" s="8"/>
      <c r="Q2428" s="8"/>
    </row>
    <row r="2429" spans="9:17" s="1" customFormat="1" x14ac:dyDescent="0.25">
      <c r="I2429" s="8"/>
      <c r="K2429" s="8"/>
      <c r="L2429" s="8"/>
      <c r="M2429" s="8"/>
      <c r="N2429" s="8"/>
      <c r="O2429" s="8"/>
      <c r="P2429" s="8"/>
      <c r="Q2429" s="8"/>
    </row>
    <row r="2430" spans="9:17" s="1" customFormat="1" x14ac:dyDescent="0.25">
      <c r="I2430" s="8"/>
      <c r="K2430" s="8"/>
      <c r="L2430" s="8"/>
      <c r="M2430" s="8"/>
      <c r="N2430" s="8"/>
      <c r="O2430" s="8"/>
      <c r="P2430" s="8"/>
      <c r="Q2430" s="8"/>
    </row>
    <row r="2431" spans="9:17" s="1" customFormat="1" x14ac:dyDescent="0.25">
      <c r="I2431" s="8"/>
      <c r="K2431" s="8"/>
      <c r="L2431" s="8"/>
      <c r="M2431" s="8"/>
      <c r="N2431" s="8"/>
      <c r="O2431" s="8"/>
      <c r="P2431" s="8"/>
      <c r="Q2431" s="8"/>
    </row>
    <row r="2432" spans="9:17" s="1" customFormat="1" x14ac:dyDescent="0.25">
      <c r="I2432" s="8"/>
      <c r="K2432" s="8"/>
      <c r="L2432" s="8"/>
      <c r="M2432" s="8"/>
      <c r="N2432" s="8"/>
      <c r="O2432" s="8"/>
      <c r="P2432" s="8"/>
      <c r="Q2432" s="8"/>
    </row>
    <row r="2433" spans="9:17" s="1" customFormat="1" x14ac:dyDescent="0.25">
      <c r="I2433" s="8"/>
      <c r="K2433" s="8"/>
      <c r="L2433" s="8"/>
      <c r="M2433" s="8"/>
      <c r="N2433" s="8"/>
      <c r="O2433" s="8"/>
      <c r="P2433" s="8"/>
      <c r="Q2433" s="8"/>
    </row>
    <row r="2434" spans="9:17" s="1" customFormat="1" x14ac:dyDescent="0.25">
      <c r="I2434" s="8"/>
      <c r="K2434" s="8"/>
      <c r="L2434" s="8"/>
      <c r="M2434" s="8"/>
      <c r="N2434" s="8"/>
      <c r="O2434" s="8"/>
      <c r="P2434" s="8"/>
      <c r="Q2434" s="8"/>
    </row>
    <row r="2435" spans="9:17" s="1" customFormat="1" x14ac:dyDescent="0.25">
      <c r="I2435" s="8"/>
      <c r="K2435" s="8"/>
      <c r="L2435" s="8"/>
      <c r="M2435" s="8"/>
      <c r="N2435" s="8"/>
      <c r="O2435" s="8"/>
      <c r="P2435" s="8"/>
      <c r="Q2435" s="8"/>
    </row>
    <row r="2436" spans="9:17" s="1" customFormat="1" x14ac:dyDescent="0.25">
      <c r="I2436" s="8"/>
      <c r="K2436" s="8"/>
      <c r="L2436" s="8"/>
      <c r="M2436" s="8"/>
      <c r="N2436" s="8"/>
      <c r="O2436" s="8"/>
      <c r="P2436" s="8"/>
      <c r="Q2436" s="8"/>
    </row>
    <row r="2437" spans="9:17" s="1" customFormat="1" x14ac:dyDescent="0.25">
      <c r="I2437" s="8"/>
      <c r="K2437" s="8"/>
      <c r="L2437" s="8"/>
      <c r="M2437" s="8"/>
      <c r="N2437" s="8"/>
      <c r="O2437" s="8"/>
      <c r="P2437" s="8"/>
      <c r="Q2437" s="8"/>
    </row>
    <row r="2438" spans="9:17" s="1" customFormat="1" x14ac:dyDescent="0.25">
      <c r="I2438" s="8"/>
      <c r="K2438" s="8"/>
      <c r="L2438" s="8"/>
      <c r="M2438" s="8"/>
      <c r="N2438" s="8"/>
      <c r="O2438" s="8"/>
      <c r="P2438" s="8"/>
      <c r="Q2438" s="8"/>
    </row>
    <row r="2439" spans="9:17" s="1" customFormat="1" x14ac:dyDescent="0.25">
      <c r="I2439" s="8"/>
      <c r="K2439" s="8"/>
      <c r="L2439" s="8"/>
      <c r="M2439" s="8"/>
      <c r="N2439" s="8"/>
      <c r="O2439" s="8"/>
      <c r="P2439" s="8"/>
      <c r="Q2439" s="8"/>
    </row>
    <row r="2440" spans="9:17" s="1" customFormat="1" x14ac:dyDescent="0.25">
      <c r="I2440" s="8"/>
      <c r="K2440" s="8"/>
      <c r="L2440" s="8"/>
      <c r="M2440" s="8"/>
      <c r="N2440" s="8"/>
      <c r="O2440" s="8"/>
      <c r="P2440" s="8"/>
      <c r="Q2440" s="8"/>
    </row>
    <row r="2441" spans="9:17" s="1" customFormat="1" x14ac:dyDescent="0.25">
      <c r="I2441" s="8"/>
      <c r="K2441" s="8"/>
      <c r="L2441" s="8"/>
      <c r="M2441" s="8"/>
      <c r="N2441" s="8"/>
      <c r="O2441" s="8"/>
      <c r="P2441" s="8"/>
      <c r="Q2441" s="8"/>
    </row>
    <row r="2442" spans="9:17" s="1" customFormat="1" x14ac:dyDescent="0.25">
      <c r="I2442" s="8"/>
      <c r="K2442" s="8"/>
      <c r="L2442" s="8"/>
      <c r="M2442" s="8"/>
      <c r="N2442" s="8"/>
      <c r="O2442" s="8"/>
      <c r="P2442" s="8"/>
      <c r="Q2442" s="8"/>
    </row>
    <row r="2443" spans="9:17" s="1" customFormat="1" x14ac:dyDescent="0.25">
      <c r="I2443" s="8"/>
      <c r="K2443" s="8"/>
      <c r="L2443" s="8"/>
      <c r="M2443" s="8"/>
      <c r="N2443" s="8"/>
      <c r="O2443" s="8"/>
      <c r="P2443" s="8"/>
      <c r="Q2443" s="8"/>
    </row>
    <row r="2444" spans="9:17" s="1" customFormat="1" x14ac:dyDescent="0.25">
      <c r="I2444" s="8"/>
      <c r="K2444" s="8"/>
      <c r="L2444" s="8"/>
      <c r="M2444" s="8"/>
      <c r="N2444" s="8"/>
      <c r="O2444" s="8"/>
      <c r="P2444" s="8"/>
      <c r="Q2444" s="8"/>
    </row>
    <row r="2445" spans="9:17" s="1" customFormat="1" x14ac:dyDescent="0.25">
      <c r="I2445" s="8"/>
      <c r="K2445" s="8"/>
      <c r="L2445" s="8"/>
      <c r="M2445" s="8"/>
      <c r="N2445" s="8"/>
      <c r="O2445" s="8"/>
      <c r="P2445" s="8"/>
      <c r="Q2445" s="8"/>
    </row>
    <row r="2446" spans="9:17" s="1" customFormat="1" x14ac:dyDescent="0.25">
      <c r="I2446" s="8"/>
      <c r="K2446" s="8"/>
      <c r="L2446" s="8"/>
      <c r="M2446" s="8"/>
      <c r="N2446" s="8"/>
      <c r="O2446" s="8"/>
      <c r="P2446" s="8"/>
      <c r="Q2446" s="8"/>
    </row>
    <row r="2447" spans="9:17" s="1" customFormat="1" x14ac:dyDescent="0.25">
      <c r="I2447" s="8"/>
      <c r="K2447" s="8"/>
      <c r="L2447" s="8"/>
      <c r="M2447" s="8"/>
      <c r="N2447" s="8"/>
      <c r="O2447" s="8"/>
      <c r="P2447" s="8"/>
      <c r="Q2447" s="8"/>
    </row>
    <row r="2448" spans="9:17" s="1" customFormat="1" x14ac:dyDescent="0.25">
      <c r="I2448" s="8"/>
      <c r="K2448" s="8"/>
      <c r="L2448" s="8"/>
      <c r="M2448" s="8"/>
      <c r="N2448" s="8"/>
      <c r="O2448" s="8"/>
      <c r="P2448" s="8"/>
      <c r="Q2448" s="8"/>
    </row>
    <row r="2449" spans="9:17" s="1" customFormat="1" x14ac:dyDescent="0.25">
      <c r="I2449" s="8"/>
      <c r="K2449" s="8"/>
      <c r="L2449" s="8"/>
      <c r="M2449" s="8"/>
      <c r="N2449" s="8"/>
      <c r="O2449" s="8"/>
      <c r="P2449" s="8"/>
      <c r="Q2449" s="8"/>
    </row>
    <row r="2450" spans="9:17" s="1" customFormat="1" x14ac:dyDescent="0.25">
      <c r="I2450" s="8"/>
      <c r="K2450" s="8"/>
      <c r="L2450" s="8"/>
      <c r="M2450" s="8"/>
      <c r="N2450" s="8"/>
      <c r="O2450" s="8"/>
      <c r="P2450" s="8"/>
      <c r="Q2450" s="8"/>
    </row>
    <row r="2451" spans="9:17" s="1" customFormat="1" x14ac:dyDescent="0.25">
      <c r="I2451" s="8"/>
      <c r="K2451" s="8"/>
      <c r="L2451" s="8"/>
      <c r="M2451" s="8"/>
      <c r="N2451" s="8"/>
      <c r="O2451" s="8"/>
      <c r="P2451" s="8"/>
      <c r="Q2451" s="8"/>
    </row>
    <row r="2452" spans="9:17" s="1" customFormat="1" x14ac:dyDescent="0.25">
      <c r="I2452" s="8"/>
      <c r="K2452" s="8"/>
      <c r="L2452" s="8"/>
      <c r="M2452" s="8"/>
      <c r="N2452" s="8"/>
      <c r="O2452" s="8"/>
      <c r="P2452" s="8"/>
      <c r="Q2452" s="8"/>
    </row>
    <row r="2453" spans="9:17" s="1" customFormat="1" x14ac:dyDescent="0.25">
      <c r="I2453" s="8"/>
      <c r="K2453" s="8"/>
      <c r="L2453" s="8"/>
      <c r="M2453" s="8"/>
      <c r="N2453" s="8"/>
      <c r="O2453" s="8"/>
      <c r="P2453" s="8"/>
      <c r="Q2453" s="8"/>
    </row>
    <row r="2454" spans="9:17" s="1" customFormat="1" x14ac:dyDescent="0.25">
      <c r="I2454" s="8"/>
      <c r="K2454" s="8"/>
      <c r="L2454" s="8"/>
      <c r="M2454" s="8"/>
      <c r="N2454" s="8"/>
      <c r="O2454" s="8"/>
      <c r="P2454" s="8"/>
      <c r="Q2454" s="8"/>
    </row>
    <row r="2455" spans="9:17" s="1" customFormat="1" x14ac:dyDescent="0.25">
      <c r="I2455" s="8"/>
      <c r="K2455" s="8"/>
      <c r="L2455" s="8"/>
      <c r="M2455" s="8"/>
      <c r="N2455" s="8"/>
      <c r="O2455" s="8"/>
      <c r="P2455" s="8"/>
      <c r="Q2455" s="8"/>
    </row>
    <row r="2456" spans="9:17" s="1" customFormat="1" x14ac:dyDescent="0.25">
      <c r="I2456" s="8"/>
      <c r="K2456" s="8"/>
      <c r="L2456" s="8"/>
      <c r="M2456" s="8"/>
      <c r="N2456" s="8"/>
      <c r="O2456" s="8"/>
      <c r="P2456" s="8"/>
      <c r="Q2456" s="8"/>
    </row>
    <row r="2457" spans="9:17" s="1" customFormat="1" x14ac:dyDescent="0.25">
      <c r="I2457" s="8"/>
      <c r="K2457" s="8"/>
      <c r="L2457" s="8"/>
      <c r="M2457" s="8"/>
      <c r="N2457" s="8"/>
      <c r="O2457" s="8"/>
      <c r="P2457" s="8"/>
      <c r="Q2457" s="8"/>
    </row>
    <row r="2458" spans="9:17" s="1" customFormat="1" x14ac:dyDescent="0.25">
      <c r="I2458" s="8"/>
      <c r="K2458" s="8"/>
      <c r="L2458" s="8"/>
      <c r="M2458" s="8"/>
      <c r="N2458" s="8"/>
      <c r="O2458" s="8"/>
      <c r="P2458" s="8"/>
      <c r="Q2458" s="8"/>
    </row>
    <row r="2459" spans="9:17" s="1" customFormat="1" x14ac:dyDescent="0.25">
      <c r="I2459" s="8"/>
      <c r="K2459" s="8"/>
      <c r="L2459" s="8"/>
      <c r="M2459" s="8"/>
      <c r="N2459" s="8"/>
      <c r="O2459" s="8"/>
      <c r="P2459" s="8"/>
      <c r="Q2459" s="8"/>
    </row>
    <row r="2460" spans="9:17" s="1" customFormat="1" x14ac:dyDescent="0.25">
      <c r="I2460" s="8"/>
      <c r="K2460" s="8"/>
      <c r="L2460" s="8"/>
      <c r="M2460" s="8"/>
      <c r="N2460" s="8"/>
      <c r="O2460" s="8"/>
      <c r="P2460" s="8"/>
      <c r="Q2460" s="8"/>
    </row>
    <row r="2461" spans="9:17" s="1" customFormat="1" x14ac:dyDescent="0.25">
      <c r="I2461" s="8"/>
      <c r="K2461" s="8"/>
      <c r="L2461" s="8"/>
      <c r="M2461" s="8"/>
      <c r="N2461" s="8"/>
      <c r="O2461" s="8"/>
      <c r="P2461" s="8"/>
      <c r="Q2461" s="8"/>
    </row>
    <row r="2462" spans="9:17" s="1" customFormat="1" x14ac:dyDescent="0.25">
      <c r="I2462" s="8"/>
      <c r="K2462" s="8"/>
      <c r="L2462" s="8"/>
      <c r="M2462" s="8"/>
      <c r="N2462" s="8"/>
      <c r="O2462" s="8"/>
      <c r="P2462" s="8"/>
      <c r="Q2462" s="8"/>
    </row>
    <row r="2463" spans="9:17" s="1" customFormat="1" x14ac:dyDescent="0.25">
      <c r="I2463" s="8"/>
      <c r="K2463" s="8"/>
      <c r="L2463" s="8"/>
      <c r="M2463" s="8"/>
      <c r="N2463" s="8"/>
      <c r="O2463" s="8"/>
      <c r="P2463" s="8"/>
      <c r="Q2463" s="8"/>
    </row>
    <row r="2464" spans="9:17" s="1" customFormat="1" x14ac:dyDescent="0.25">
      <c r="I2464" s="8"/>
      <c r="K2464" s="8"/>
      <c r="L2464" s="8"/>
      <c r="M2464" s="8"/>
      <c r="N2464" s="8"/>
      <c r="O2464" s="8"/>
      <c r="P2464" s="8"/>
      <c r="Q2464" s="8"/>
    </row>
    <row r="2465" spans="9:17" s="1" customFormat="1" x14ac:dyDescent="0.25">
      <c r="I2465" s="8"/>
      <c r="K2465" s="8"/>
      <c r="L2465" s="8"/>
      <c r="M2465" s="8"/>
      <c r="N2465" s="8"/>
      <c r="O2465" s="8"/>
      <c r="P2465" s="8"/>
      <c r="Q2465" s="8"/>
    </row>
    <row r="2466" spans="9:17" s="1" customFormat="1" x14ac:dyDescent="0.25">
      <c r="I2466" s="8"/>
      <c r="K2466" s="8"/>
      <c r="L2466" s="8"/>
      <c r="M2466" s="8"/>
      <c r="N2466" s="8"/>
      <c r="O2466" s="8"/>
      <c r="P2466" s="8"/>
      <c r="Q2466" s="8"/>
    </row>
    <row r="2467" spans="9:17" s="1" customFormat="1" x14ac:dyDescent="0.25">
      <c r="I2467" s="8"/>
      <c r="K2467" s="8"/>
      <c r="L2467" s="8"/>
      <c r="M2467" s="8"/>
      <c r="N2467" s="8"/>
      <c r="O2467" s="8"/>
      <c r="P2467" s="8"/>
      <c r="Q2467" s="8"/>
    </row>
    <row r="2468" spans="9:17" s="1" customFormat="1" x14ac:dyDescent="0.25">
      <c r="I2468" s="8"/>
      <c r="K2468" s="8"/>
      <c r="L2468" s="8"/>
      <c r="M2468" s="8"/>
      <c r="N2468" s="8"/>
      <c r="O2468" s="8"/>
      <c r="P2468" s="8"/>
      <c r="Q2468" s="8"/>
    </row>
    <row r="2469" spans="9:17" s="1" customFormat="1" x14ac:dyDescent="0.25">
      <c r="I2469" s="8"/>
      <c r="K2469" s="8"/>
      <c r="L2469" s="8"/>
      <c r="M2469" s="8"/>
      <c r="N2469" s="8"/>
      <c r="O2469" s="8"/>
      <c r="P2469" s="8"/>
      <c r="Q2469" s="8"/>
    </row>
    <row r="2470" spans="9:17" s="1" customFormat="1" x14ac:dyDescent="0.25">
      <c r="I2470" s="8"/>
      <c r="K2470" s="8"/>
      <c r="L2470" s="8"/>
      <c r="M2470" s="8"/>
      <c r="N2470" s="8"/>
      <c r="O2470" s="8"/>
      <c r="P2470" s="8"/>
      <c r="Q2470" s="8"/>
    </row>
    <row r="2471" spans="9:17" s="1" customFormat="1" x14ac:dyDescent="0.25">
      <c r="I2471" s="8"/>
      <c r="K2471" s="8"/>
      <c r="L2471" s="8"/>
      <c r="M2471" s="8"/>
      <c r="N2471" s="8"/>
      <c r="O2471" s="8"/>
      <c r="P2471" s="8"/>
      <c r="Q2471" s="8"/>
    </row>
    <row r="2472" spans="9:17" s="1" customFormat="1" x14ac:dyDescent="0.25">
      <c r="I2472" s="8"/>
      <c r="K2472" s="8"/>
      <c r="L2472" s="8"/>
      <c r="M2472" s="8"/>
      <c r="N2472" s="8"/>
      <c r="O2472" s="8"/>
      <c r="P2472" s="8"/>
      <c r="Q2472" s="8"/>
    </row>
    <row r="2473" spans="9:17" s="1" customFormat="1" x14ac:dyDescent="0.25">
      <c r="I2473" s="8"/>
      <c r="K2473" s="8"/>
      <c r="L2473" s="8"/>
      <c r="M2473" s="8"/>
      <c r="N2473" s="8"/>
      <c r="O2473" s="8"/>
      <c r="P2473" s="8"/>
      <c r="Q2473" s="8"/>
    </row>
    <row r="2474" spans="9:17" s="1" customFormat="1" x14ac:dyDescent="0.25">
      <c r="I2474" s="8"/>
      <c r="K2474" s="8"/>
      <c r="L2474" s="8"/>
      <c r="M2474" s="8"/>
      <c r="N2474" s="8"/>
      <c r="O2474" s="8"/>
      <c r="P2474" s="8"/>
      <c r="Q2474" s="8"/>
    </row>
    <row r="2475" spans="9:17" s="1" customFormat="1" x14ac:dyDescent="0.25">
      <c r="I2475" s="8"/>
      <c r="K2475" s="8"/>
      <c r="L2475" s="8"/>
      <c r="M2475" s="8"/>
      <c r="N2475" s="8"/>
      <c r="O2475" s="8"/>
      <c r="P2475" s="8"/>
      <c r="Q2475" s="8"/>
    </row>
    <row r="2476" spans="9:17" s="1" customFormat="1" x14ac:dyDescent="0.25">
      <c r="I2476" s="8"/>
      <c r="K2476" s="8"/>
      <c r="L2476" s="8"/>
      <c r="M2476" s="8"/>
      <c r="N2476" s="8"/>
      <c r="O2476" s="8"/>
      <c r="P2476" s="8"/>
      <c r="Q2476" s="8"/>
    </row>
    <row r="2477" spans="9:17" s="1" customFormat="1" x14ac:dyDescent="0.25">
      <c r="I2477" s="8"/>
      <c r="K2477" s="8"/>
      <c r="L2477" s="8"/>
      <c r="M2477" s="8"/>
      <c r="N2477" s="8"/>
      <c r="O2477" s="8"/>
      <c r="P2477" s="8"/>
      <c r="Q2477" s="8"/>
    </row>
    <row r="2478" spans="9:17" s="1" customFormat="1" x14ac:dyDescent="0.25">
      <c r="I2478" s="8"/>
      <c r="K2478" s="8"/>
      <c r="L2478" s="8"/>
      <c r="M2478" s="8"/>
      <c r="N2478" s="8"/>
      <c r="O2478" s="8"/>
      <c r="P2478" s="8"/>
      <c r="Q2478" s="8"/>
    </row>
    <row r="2479" spans="9:17" s="1" customFormat="1" x14ac:dyDescent="0.25">
      <c r="I2479" s="8"/>
      <c r="K2479" s="8"/>
      <c r="L2479" s="8"/>
      <c r="M2479" s="8"/>
      <c r="N2479" s="8"/>
      <c r="O2479" s="8"/>
      <c r="P2479" s="8"/>
      <c r="Q2479" s="8"/>
    </row>
    <row r="2480" spans="9:17" s="1" customFormat="1" x14ac:dyDescent="0.25">
      <c r="I2480" s="8"/>
      <c r="K2480" s="8"/>
      <c r="L2480" s="8"/>
      <c r="M2480" s="8"/>
      <c r="N2480" s="8"/>
      <c r="O2480" s="8"/>
      <c r="P2480" s="8"/>
      <c r="Q2480" s="8"/>
    </row>
    <row r="2481" spans="9:17" s="1" customFormat="1" x14ac:dyDescent="0.25">
      <c r="I2481" s="8"/>
      <c r="K2481" s="8"/>
      <c r="L2481" s="8"/>
      <c r="M2481" s="8"/>
      <c r="N2481" s="8"/>
      <c r="O2481" s="8"/>
      <c r="P2481" s="8"/>
      <c r="Q2481" s="8"/>
    </row>
    <row r="2482" spans="9:17" s="1" customFormat="1" x14ac:dyDescent="0.25">
      <c r="I2482" s="8"/>
      <c r="K2482" s="8"/>
      <c r="L2482" s="8"/>
      <c r="M2482" s="8"/>
      <c r="N2482" s="8"/>
      <c r="O2482" s="8"/>
      <c r="P2482" s="8"/>
      <c r="Q2482" s="8"/>
    </row>
    <row r="2483" spans="9:17" s="1" customFormat="1" x14ac:dyDescent="0.25">
      <c r="I2483" s="8"/>
      <c r="K2483" s="8"/>
      <c r="L2483" s="8"/>
      <c r="M2483" s="8"/>
      <c r="N2483" s="8"/>
      <c r="O2483" s="8"/>
      <c r="P2483" s="8"/>
      <c r="Q2483" s="8"/>
    </row>
    <row r="2484" spans="9:17" s="1" customFormat="1" x14ac:dyDescent="0.25">
      <c r="I2484" s="8"/>
      <c r="K2484" s="8"/>
      <c r="L2484" s="8"/>
      <c r="M2484" s="8"/>
      <c r="N2484" s="8"/>
      <c r="O2484" s="8"/>
      <c r="P2484" s="8"/>
      <c r="Q2484" s="8"/>
    </row>
    <row r="2485" spans="9:17" s="1" customFormat="1" x14ac:dyDescent="0.25">
      <c r="I2485" s="8"/>
      <c r="K2485" s="8"/>
      <c r="L2485" s="8"/>
      <c r="M2485" s="8"/>
      <c r="N2485" s="8"/>
      <c r="O2485" s="8"/>
      <c r="P2485" s="8"/>
      <c r="Q2485" s="8"/>
    </row>
    <row r="2486" spans="9:17" s="1" customFormat="1" x14ac:dyDescent="0.25">
      <c r="I2486" s="8"/>
      <c r="K2486" s="8"/>
      <c r="L2486" s="8"/>
      <c r="M2486" s="8"/>
      <c r="N2486" s="8"/>
      <c r="O2486" s="8"/>
      <c r="P2486" s="8"/>
      <c r="Q2486" s="8"/>
    </row>
    <row r="2487" spans="9:17" s="1" customFormat="1" x14ac:dyDescent="0.25">
      <c r="I2487" s="8"/>
      <c r="K2487" s="8"/>
      <c r="L2487" s="8"/>
      <c r="M2487" s="8"/>
      <c r="N2487" s="8"/>
      <c r="O2487" s="8"/>
      <c r="P2487" s="8"/>
      <c r="Q2487" s="8"/>
    </row>
    <row r="2488" spans="9:17" s="1" customFormat="1" x14ac:dyDescent="0.25">
      <c r="I2488" s="8"/>
      <c r="K2488" s="8"/>
      <c r="L2488" s="8"/>
      <c r="M2488" s="8"/>
      <c r="N2488" s="8"/>
      <c r="O2488" s="8"/>
      <c r="P2488" s="8"/>
      <c r="Q2488" s="8"/>
    </row>
    <row r="2489" spans="9:17" s="1" customFormat="1" x14ac:dyDescent="0.25">
      <c r="I2489" s="8"/>
      <c r="K2489" s="8"/>
      <c r="L2489" s="8"/>
      <c r="M2489" s="8"/>
      <c r="N2489" s="8"/>
      <c r="O2489" s="8"/>
      <c r="P2489" s="8"/>
      <c r="Q2489" s="8"/>
    </row>
    <row r="2490" spans="9:17" s="1" customFormat="1" x14ac:dyDescent="0.25">
      <c r="I2490" s="8"/>
      <c r="K2490" s="8"/>
      <c r="L2490" s="8"/>
      <c r="M2490" s="8"/>
      <c r="N2490" s="8"/>
      <c r="O2490" s="8"/>
      <c r="P2490" s="8"/>
      <c r="Q2490" s="8"/>
    </row>
    <row r="2491" spans="9:17" s="1" customFormat="1" x14ac:dyDescent="0.25">
      <c r="I2491" s="8"/>
      <c r="K2491" s="8"/>
      <c r="L2491" s="8"/>
      <c r="M2491" s="8"/>
      <c r="N2491" s="8"/>
      <c r="O2491" s="8"/>
      <c r="P2491" s="8"/>
      <c r="Q2491" s="8"/>
    </row>
    <row r="2492" spans="9:17" s="1" customFormat="1" x14ac:dyDescent="0.25">
      <c r="I2492" s="8"/>
      <c r="K2492" s="8"/>
      <c r="L2492" s="8"/>
      <c r="M2492" s="8"/>
      <c r="N2492" s="8"/>
      <c r="O2492" s="8"/>
      <c r="P2492" s="8"/>
      <c r="Q2492" s="8"/>
    </row>
    <row r="2493" spans="9:17" s="1" customFormat="1" x14ac:dyDescent="0.25">
      <c r="I2493" s="8"/>
      <c r="K2493" s="8"/>
      <c r="L2493" s="8"/>
      <c r="M2493" s="8"/>
      <c r="N2493" s="8"/>
      <c r="O2493" s="8"/>
      <c r="P2493" s="8"/>
      <c r="Q2493" s="8"/>
    </row>
    <row r="2494" spans="9:17" s="1" customFormat="1" x14ac:dyDescent="0.25">
      <c r="I2494" s="8"/>
      <c r="K2494" s="8"/>
      <c r="L2494" s="8"/>
      <c r="M2494" s="8"/>
      <c r="N2494" s="8"/>
      <c r="O2494" s="8"/>
      <c r="P2494" s="8"/>
      <c r="Q2494" s="8"/>
    </row>
    <row r="2495" spans="9:17" s="1" customFormat="1" x14ac:dyDescent="0.25">
      <c r="I2495" s="8"/>
      <c r="K2495" s="8"/>
      <c r="L2495" s="8"/>
      <c r="M2495" s="8"/>
      <c r="N2495" s="8"/>
      <c r="O2495" s="8"/>
      <c r="P2495" s="8"/>
      <c r="Q2495" s="8"/>
    </row>
    <row r="2496" spans="9:17" s="1" customFormat="1" x14ac:dyDescent="0.25">
      <c r="I2496" s="8"/>
      <c r="K2496" s="8"/>
      <c r="L2496" s="8"/>
      <c r="M2496" s="8"/>
      <c r="N2496" s="8"/>
      <c r="O2496" s="8"/>
      <c r="P2496" s="8"/>
      <c r="Q2496" s="8"/>
    </row>
    <row r="2497" spans="1:17" s="1" customFormat="1" x14ac:dyDescent="0.25">
      <c r="I2497" s="8"/>
      <c r="K2497" s="8"/>
      <c r="L2497" s="8"/>
      <c r="M2497" s="8"/>
      <c r="N2497" s="8"/>
      <c r="O2497" s="8"/>
      <c r="P2497" s="8"/>
      <c r="Q2497" s="8"/>
    </row>
    <row r="2498" spans="1:17" s="1" customFormat="1" x14ac:dyDescent="0.25">
      <c r="A2498"/>
      <c r="B2498"/>
      <c r="C2498"/>
      <c r="D2498"/>
      <c r="E2498"/>
      <c r="F2498"/>
      <c r="G2498"/>
      <c r="H2498"/>
      <c r="I2498" s="8"/>
      <c r="K2498" s="8"/>
      <c r="L2498" s="8"/>
      <c r="M2498" s="8"/>
      <c r="N2498" s="8"/>
      <c r="O2498" s="8"/>
      <c r="P2498" s="8"/>
      <c r="Q2498" s="8"/>
    </row>
  </sheetData>
  <sheetProtection algorithmName="SHA-512" hashValue="J2vxW1nf8FV51wGxk0wWQ2LpPnfhiyw1P88kcvJfZWTGFigThxNnjrFaXIpklts/uiHp8DDIFRRcyctWOWX5Eg==" saltValue="ON4hR+2wLb+lCrQove/z3w==" spinCount="100000" sheet="1" objects="1" scenarios="1"/>
  <mergeCells count="21">
    <mergeCell ref="A1:H1"/>
    <mergeCell ref="A2:C2"/>
    <mergeCell ref="A63:H63"/>
    <mergeCell ref="A64:H64"/>
    <mergeCell ref="A4:H4"/>
    <mergeCell ref="A13:H13"/>
    <mergeCell ref="A22:H22"/>
    <mergeCell ref="A31:H31"/>
    <mergeCell ref="A32:H32"/>
    <mergeCell ref="A62:H62"/>
    <mergeCell ref="A34:H34"/>
    <mergeCell ref="A43:H43"/>
    <mergeCell ref="A52:H52"/>
    <mergeCell ref="A61:H61"/>
    <mergeCell ref="A3:C3"/>
    <mergeCell ref="B5:E5"/>
    <mergeCell ref="B14:E14"/>
    <mergeCell ref="B23:E23"/>
    <mergeCell ref="B35:E35"/>
    <mergeCell ref="B44:E44"/>
    <mergeCell ref="B53:E53"/>
  </mergeCells>
  <hyperlinks>
    <hyperlink ref="A7" r:id="rId1" xr:uid="{1C04212A-4FDB-431E-9A38-E7E6378B065A}"/>
    <hyperlink ref="H8" r:id="rId2" display="https://www.youtube.com/watch?v=bQygjApp2Ew&amp;t=0s" xr:uid="{317AA0C0-1DED-41E9-8017-B81F56654DE5}"/>
    <hyperlink ref="A8" r:id="rId3" xr:uid="{1CA348CF-166B-4C36-B909-E8479E7CABB0}"/>
    <hyperlink ref="A9" r:id="rId4" xr:uid="{116BF23D-BD8F-4306-823D-78D4BF1D527E}"/>
    <hyperlink ref="H16" r:id="rId5" display="https://www.youtube.com/watch?v=bQygjApp2Ew&amp;t=0s" xr:uid="{027D6601-0D15-4290-AFD4-FFC059698C14}"/>
    <hyperlink ref="A25" r:id="rId6" xr:uid="{BF1DFE54-073B-4731-A1BD-ACD7655B8259}"/>
    <hyperlink ref="H26" r:id="rId7" display="https://www.youtube.com/watch?v=bQygjApp2Ew&amp;t=0s" xr:uid="{78AC5678-E6B3-4ECA-B7E6-D6C46D536A65}"/>
    <hyperlink ref="H37" r:id="rId8" display="https://www.youtube.com/watch?v=bQygjApp2Ew&amp;t=0s" xr:uid="{893D9032-20A3-4E6E-A842-8CA765748E7D}"/>
    <hyperlink ref="A46" r:id="rId9" xr:uid="{CB6DE554-18A6-46FB-8387-5978F759FF86}"/>
    <hyperlink ref="H47" r:id="rId10" display="https://www.youtube.com/watch?v=bQygjApp2Ew&amp;t=0s" xr:uid="{3A64E6AF-866C-4E3D-80A0-B1AF60B059D7}"/>
    <hyperlink ref="H55" r:id="rId11" display="https://www.youtube.com/watch?v=bQygjApp2Ew&amp;t=0s" xr:uid="{94527E1C-D65A-4B0F-9BE8-F1D01FCC0FDB}"/>
    <hyperlink ref="A11" r:id="rId12" xr:uid="{1DAAD5A4-EFDB-4106-9BC6-A0ED767615F6}"/>
    <hyperlink ref="A19" r:id="rId13" xr:uid="{0247090D-7B86-4FC5-ABC5-8063BCC1E385}"/>
    <hyperlink ref="A29" r:id="rId14" xr:uid="{D9C12B11-EE28-4D64-A7B7-55E2034CF937}"/>
    <hyperlink ref="A40" r:id="rId15" xr:uid="{862861C2-1795-4C8D-AB83-2A008AF2CBB0}"/>
    <hyperlink ref="A50" r:id="rId16" xr:uid="{800059CB-82A7-4DA4-BF9E-9437A9FD416F}"/>
    <hyperlink ref="A58" r:id="rId17" xr:uid="{71153346-7E03-47CE-B90A-11A95D61A908}"/>
    <hyperlink ref="A20" r:id="rId18" display="Extension triceps contre un mur ou extension nuque haltères" xr:uid="{222E1362-E853-4175-A955-AB817C955852}"/>
    <hyperlink ref="A12" r:id="rId19" display="Relevé de jambes sol ou suspendu suivant votre niveau" xr:uid="{E211F6D9-F74F-4088-9DE5-F1383123C0C8}"/>
    <hyperlink ref="A30" r:id="rId20" display="Relevé de jambes sol ou suspendu suivant votre niveau" xr:uid="{1F34E8B1-0E9A-44BF-8B45-AF5DEAF7FBAF}"/>
    <hyperlink ref="A51" r:id="rId21" display="Relevé de jambes sol ou suspendu suivant votre niveau" xr:uid="{CACCA27F-C1CD-48F4-90A6-F3F72CF48C1C}"/>
    <hyperlink ref="A21" r:id="rId22" xr:uid="{89234801-3ED5-495D-AAB7-688D7474265A}"/>
    <hyperlink ref="A42" r:id="rId23" xr:uid="{F5297343-BDDD-4964-A684-3DC3DC8ACB58}"/>
    <hyperlink ref="A60" r:id="rId24" xr:uid="{8D216140-16A6-4F63-AE7E-BE926512DFAD}"/>
    <hyperlink ref="A10" r:id="rId25" display="Extension triceps contre un mur ou extension nuque haltères" xr:uid="{5ED572D3-91BD-47D9-9D04-E20F65ED84F3}"/>
    <hyperlink ref="A28" r:id="rId26" display="Extension triceps contre un mur ou extension nuque haltères" xr:uid="{73BE0B2B-9EA2-4043-92F2-5EB10BDC9F76}"/>
    <hyperlink ref="A41" r:id="rId27" display="Extension triceps contre un mur ou extension nuque haltères" xr:uid="{79D29C37-6523-47FA-B564-870FC991EF72}"/>
    <hyperlink ref="A49" r:id="rId28" display="Extension triceps contre un mur ou extension nuque haltères" xr:uid="{74DF6F82-76DD-4F46-A1F6-A1FBA203598D}"/>
    <hyperlink ref="A59" r:id="rId29" display="Extension triceps contre un mur ou extension nuque haltères" xr:uid="{8A341641-E1F5-4CFF-B02D-98B57D9A4D2B}"/>
    <hyperlink ref="A17" r:id="rId30" xr:uid="{91F7A106-5A52-44D1-BD6A-7AB7FE8EA4D7}"/>
    <hyperlink ref="A38" r:id="rId31" xr:uid="{D23CF3B9-EE40-4D0A-A60A-6B75041BF3BF}"/>
    <hyperlink ref="A56" r:id="rId32" xr:uid="{4E0CEFA3-6297-41CC-AECB-D8135C9F4D59}"/>
    <hyperlink ref="A16" r:id="rId33" xr:uid="{4A3B1882-4E97-4D69-ADAE-F2231B0F512F}"/>
    <hyperlink ref="A26" r:id="rId34" xr:uid="{2FD0C592-D2C4-4D33-875C-AE3ADA5A0054}"/>
    <hyperlink ref="A37" r:id="rId35" xr:uid="{F12ADF9D-549B-44BC-8827-B2466F604E06}"/>
    <hyperlink ref="A47" r:id="rId36" xr:uid="{A53C2DC1-6473-4647-987E-9B92BFF3E545}"/>
    <hyperlink ref="A55" r:id="rId37" xr:uid="{9DC2E344-51DF-413A-AE38-00FB19F7C690}"/>
    <hyperlink ref="A18" r:id="rId38" xr:uid="{E5FAC69F-A7E1-460E-AA2F-0E1F4DD42994}"/>
    <hyperlink ref="A27" r:id="rId39" xr:uid="{E9C1A4A3-3123-4D5E-B4CA-3AA0A41B42F1}"/>
    <hyperlink ref="A39" r:id="rId40" xr:uid="{6BF6154E-F8E1-4A1D-87CB-7E5497B48DCE}"/>
    <hyperlink ref="A48" r:id="rId41" xr:uid="{7EF2F68D-DD9F-46B6-9FFF-5A07759E8518}"/>
    <hyperlink ref="A57" r:id="rId42" xr:uid="{C0457733-D71F-4A38-A672-9B4AC77C36FE}"/>
    <hyperlink ref="B5" r:id="rId43" xr:uid="{1AFE31D0-3D9D-47DF-9CA0-66E3E3949697}"/>
    <hyperlink ref="B14" r:id="rId44" xr:uid="{BFB00300-1E71-4239-B1DB-6E2E3D82F088}"/>
    <hyperlink ref="B23" r:id="rId45" xr:uid="{7B601D76-E45A-41BD-B284-065257884237}"/>
    <hyperlink ref="B35" r:id="rId46" xr:uid="{6EA7DDB0-B2C8-4B40-86D7-0EC499584E95}"/>
    <hyperlink ref="B44" r:id="rId47" xr:uid="{21A179D6-B3CF-4EEE-8DFB-796F4052BE6B}"/>
    <hyperlink ref="B53" r:id="rId48" xr:uid="{08AE3436-4D29-452C-BD7E-C2A0F02FB2A9}"/>
    <hyperlink ref="H5" r:id="rId49" xr:uid="{E5E59BD4-8FF3-4116-8D89-60DA66A1B473}"/>
    <hyperlink ref="H14" r:id="rId50" xr:uid="{E4F3A7FB-599B-406A-A1D1-291279B5CBD2}"/>
    <hyperlink ref="H23" r:id="rId51" xr:uid="{56BBF9A6-BF9B-4F01-93B8-E896157A20D4}"/>
    <hyperlink ref="H35" r:id="rId52" xr:uid="{FB0BC7FE-A537-47EB-B5E0-C842D5AF3DD9}"/>
    <hyperlink ref="H44" r:id="rId53" xr:uid="{274FA3D2-07F6-43EE-89A6-1B55C5B2457F}"/>
    <hyperlink ref="H53" r:id="rId54" xr:uid="{398363D9-5DE8-4D7C-B814-780C4165F462}"/>
  </hyperlinks>
  <pageMargins left="0.7" right="0.7" top="0.75" bottom="0.75" header="0.3" footer="0.3"/>
  <pageSetup paperSize="9" orientation="portrait" r:id="rId55"/>
  <drawing r:id="rId5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DAE4C-5048-47A4-BF8B-155C7EBC2C83}">
  <sheetPr codeName="Feuil6"/>
  <dimension ref="A1:GG3207"/>
  <sheetViews>
    <sheetView workbookViewId="0">
      <selection activeCell="C8" sqref="C8"/>
    </sheetView>
  </sheetViews>
  <sheetFormatPr baseColWidth="10" defaultRowHeight="15" x14ac:dyDescent="0.25"/>
  <cols>
    <col min="1" max="1" width="54.140625" customWidth="1"/>
    <col min="2" max="2" width="16" customWidth="1"/>
    <col min="3" max="3" width="11.42578125" style="1"/>
    <col min="4" max="4" width="31" style="1" bestFit="1" customWidth="1"/>
    <col min="5" max="5" width="33.28515625" bestFit="1" customWidth="1"/>
    <col min="7" max="7" width="14.28515625" bestFit="1" customWidth="1"/>
    <col min="8" max="8" width="61.28515625" bestFit="1" customWidth="1"/>
    <col min="9" max="11" width="11.42578125" style="1"/>
    <col min="12" max="12" width="0" style="1" hidden="1" customWidth="1"/>
    <col min="13" max="13" width="22.7109375" style="1" hidden="1" customWidth="1"/>
    <col min="14" max="15" width="0" style="1" hidden="1" customWidth="1"/>
    <col min="16" max="189" width="11.42578125" style="1"/>
  </cols>
  <sheetData>
    <row r="1" spans="1:10" s="1" customFormat="1" ht="15.75" x14ac:dyDescent="0.25">
      <c r="A1" s="106" t="s">
        <v>145</v>
      </c>
      <c r="B1" s="59"/>
      <c r="C1" s="59"/>
      <c r="D1" s="59"/>
      <c r="E1" s="59"/>
      <c r="F1" s="59"/>
      <c r="G1" s="59"/>
      <c r="H1" s="59"/>
      <c r="I1" s="59"/>
      <c r="J1" s="59"/>
    </row>
    <row r="2" spans="1:10" x14ac:dyDescent="0.25">
      <c r="A2" s="80" t="s">
        <v>149</v>
      </c>
      <c r="B2" s="80"/>
      <c r="C2" s="80"/>
      <c r="D2" s="80"/>
      <c r="E2" s="1"/>
      <c r="F2" s="1"/>
      <c r="G2" s="1"/>
      <c r="H2" s="1"/>
    </row>
    <row r="3" spans="1:10" x14ac:dyDescent="0.25">
      <c r="A3" s="80" t="s">
        <v>159</v>
      </c>
      <c r="B3" s="80"/>
      <c r="C3" s="80"/>
      <c r="D3" s="80"/>
      <c r="E3" s="1"/>
      <c r="F3" s="1"/>
      <c r="G3" s="1"/>
      <c r="H3" s="1"/>
    </row>
    <row r="4" spans="1:10" x14ac:dyDescent="0.25">
      <c r="A4" s="211" t="s">
        <v>253</v>
      </c>
      <c r="B4" s="211"/>
      <c r="C4" s="211"/>
      <c r="D4" s="83"/>
      <c r="E4" s="1"/>
      <c r="F4" s="1"/>
      <c r="G4" s="1"/>
      <c r="H4" s="1"/>
    </row>
    <row r="5" spans="1:10" s="1" customFormat="1" x14ac:dyDescent="0.25">
      <c r="A5" s="11" t="s">
        <v>154</v>
      </c>
    </row>
    <row r="6" spans="1:10" s="1" customFormat="1" x14ac:dyDescent="0.25">
      <c r="A6" s="8" t="s">
        <v>129</v>
      </c>
    </row>
    <row r="7" spans="1:10" s="1" customFormat="1" x14ac:dyDescent="0.25">
      <c r="A7" s="218" t="s">
        <v>299</v>
      </c>
      <c r="B7" s="218"/>
    </row>
    <row r="8" spans="1:10" x14ac:dyDescent="0.25">
      <c r="A8" s="86" t="s">
        <v>147</v>
      </c>
      <c r="B8" s="87"/>
      <c r="E8" s="1"/>
      <c r="F8" s="1"/>
      <c r="G8" s="1"/>
      <c r="H8" s="1"/>
    </row>
    <row r="9" spans="1:10" x14ac:dyDescent="0.25">
      <c r="A9" s="79" t="s">
        <v>155</v>
      </c>
      <c r="B9" s="87"/>
      <c r="E9" s="1"/>
      <c r="F9" s="1"/>
      <c r="G9" s="1"/>
      <c r="H9" s="1"/>
    </row>
    <row r="10" spans="1:10" x14ac:dyDescent="0.25">
      <c r="A10" s="79" t="s">
        <v>148</v>
      </c>
      <c r="B10" s="87"/>
      <c r="E10" s="1"/>
      <c r="F10" s="1"/>
      <c r="G10" s="1"/>
      <c r="H10" s="1"/>
    </row>
    <row r="11" spans="1:10" x14ac:dyDescent="0.25">
      <c r="A11" s="79" t="s">
        <v>328</v>
      </c>
      <c r="B11" s="87"/>
      <c r="E11" s="1"/>
      <c r="F11" s="1"/>
      <c r="G11" s="1"/>
      <c r="H11" s="1"/>
    </row>
    <row r="12" spans="1:10" x14ac:dyDescent="0.25">
      <c r="A12" s="79" t="s">
        <v>164</v>
      </c>
      <c r="B12" s="87"/>
      <c r="C12" s="8" t="s">
        <v>278</v>
      </c>
      <c r="E12" s="1"/>
      <c r="F12" s="1"/>
      <c r="G12" s="1"/>
      <c r="H12" s="1"/>
    </row>
    <row r="13" spans="1:10" x14ac:dyDescent="0.25">
      <c r="A13" s="79" t="s">
        <v>157</v>
      </c>
      <c r="B13" s="87"/>
      <c r="C13" s="8" t="s">
        <v>279</v>
      </c>
      <c r="E13" s="1"/>
      <c r="F13" s="1"/>
      <c r="G13" s="1"/>
      <c r="H13" s="1"/>
    </row>
    <row r="14" spans="1:10" x14ac:dyDescent="0.25">
      <c r="A14" s="218" t="s">
        <v>165</v>
      </c>
      <c r="B14" s="218"/>
      <c r="E14" s="1"/>
      <c r="F14" s="1"/>
      <c r="G14" s="1"/>
      <c r="H14" s="1"/>
    </row>
    <row r="15" spans="1:10" x14ac:dyDescent="0.25">
      <c r="A15" s="79" t="s">
        <v>302</v>
      </c>
      <c r="B15" s="87"/>
      <c r="E15" s="1"/>
      <c r="F15" s="1"/>
      <c r="G15" s="1"/>
      <c r="H15" s="1"/>
    </row>
    <row r="16" spans="1:10" x14ac:dyDescent="0.25">
      <c r="A16" s="79" t="s">
        <v>166</v>
      </c>
      <c r="B16" s="87"/>
      <c r="E16" s="1"/>
      <c r="F16" s="1"/>
      <c r="G16" s="1"/>
      <c r="H16" s="1"/>
    </row>
    <row r="17" spans="1:15" x14ac:dyDescent="0.25">
      <c r="A17" s="79" t="s">
        <v>174</v>
      </c>
      <c r="B17" s="87"/>
      <c r="E17" s="1"/>
      <c r="F17" s="1"/>
      <c r="G17" s="1"/>
      <c r="H17" s="1"/>
    </row>
    <row r="18" spans="1:15" x14ac:dyDescent="0.25">
      <c r="A18" s="79" t="s">
        <v>171</v>
      </c>
      <c r="B18" s="87"/>
      <c r="E18" s="1"/>
      <c r="F18" s="1"/>
      <c r="G18" s="1"/>
      <c r="H18" s="1"/>
    </row>
    <row r="19" spans="1:15" x14ac:dyDescent="0.25">
      <c r="A19" s="79" t="s">
        <v>327</v>
      </c>
      <c r="B19" s="87"/>
      <c r="E19" s="1"/>
      <c r="F19" s="1"/>
      <c r="G19" s="1"/>
      <c r="H19" s="1"/>
    </row>
    <row r="20" spans="1:15" x14ac:dyDescent="0.25">
      <c r="A20" s="79" t="s">
        <v>161</v>
      </c>
      <c r="B20" s="87"/>
      <c r="E20" s="1"/>
      <c r="F20" s="1"/>
      <c r="G20" s="1"/>
      <c r="H20" s="1"/>
    </row>
    <row r="21" spans="1:15" s="1" customFormat="1" x14ac:dyDescent="0.25"/>
    <row r="22" spans="1:15" ht="15.75" thickBot="1" x14ac:dyDescent="0.3">
      <c r="A22" s="213" t="s">
        <v>0</v>
      </c>
      <c r="B22" s="213"/>
      <c r="C22" s="213"/>
      <c r="D22" s="213"/>
      <c r="E22" s="213"/>
      <c r="F22" s="213"/>
      <c r="G22" s="213"/>
      <c r="H22" s="213"/>
    </row>
    <row r="23" spans="1:15" x14ac:dyDescent="0.25">
      <c r="A23" s="72" t="s">
        <v>151</v>
      </c>
      <c r="B23" s="208" t="s">
        <v>324</v>
      </c>
      <c r="C23" s="209"/>
      <c r="D23" s="209"/>
      <c r="E23" s="209"/>
      <c r="F23" s="1"/>
      <c r="G23" s="1"/>
      <c r="H23" s="147" t="s">
        <v>325</v>
      </c>
      <c r="M23" s="62" t="s">
        <v>147</v>
      </c>
      <c r="N23" s="62" t="s">
        <v>8</v>
      </c>
      <c r="O23" s="62" t="s">
        <v>9</v>
      </c>
    </row>
    <row r="24" spans="1:15" x14ac:dyDescent="0.25">
      <c r="A24" s="73" t="s">
        <v>2</v>
      </c>
      <c r="B24" s="74" t="s">
        <v>3</v>
      </c>
      <c r="C24" s="74" t="s">
        <v>4</v>
      </c>
      <c r="D24" s="74" t="s">
        <v>5</v>
      </c>
      <c r="E24" s="74" t="s">
        <v>6</v>
      </c>
      <c r="F24" s="74" t="s">
        <v>124</v>
      </c>
      <c r="G24" s="74" t="s">
        <v>125</v>
      </c>
      <c r="H24" s="74" t="s">
        <v>123</v>
      </c>
      <c r="M24" s="62"/>
      <c r="N24" s="62"/>
      <c r="O24" s="62"/>
    </row>
    <row r="25" spans="1:15" x14ac:dyDescent="0.25">
      <c r="A25" s="79" t="s">
        <v>147</v>
      </c>
      <c r="B25" s="65">
        <f>IF(B8='Niveau 2'!M25,"2",IF(B8='Niveau 2'!M26,"5",IF(B8=M27,"8",IF(B8=M28,"12",IF(B8=M29,14,IF(B8=M30,17,IF(B8=M31,22,IF(B8=M32,27,IF(B8=M33,30,IF(B8=M34,30,IF(B8=M35,30,IF(B8=M36,35,0))))))))))))</f>
        <v>0</v>
      </c>
      <c r="C25" s="65">
        <f>IF(B8='Niveau 2'!M25,"3",IF(B8='Niveau 2'!M26,"6",IF(B8=M27,"9",IF(B8=M28,"17",IF(B8=M29,18,IF(B8=M30,19,IF(B8=M31,24,IF(B8=M32,29,IF(B8=M33,34,IF(B8=M34,39,IF(B8=M35,44,IF(B8=M36,49,0))))))))))))</f>
        <v>0</v>
      </c>
      <c r="D25" s="65">
        <f>IF(B8='Niveau 2'!M25,"2",IF(B8='Niveau 2'!M26,"4",IF(B8=M27,"7",IF(B8=M28,"13",IF(B8=M29,14,IF(B8=M30,15,IF(B8=M31,20,IF(B8=M32,25,IF(B8=M33,30,IF(B8=M34,35,IF(B8=M35,40,IF(B8=M36,45,0))))))))))))</f>
        <v>0</v>
      </c>
      <c r="E25" s="65">
        <f>IF(B8='Niveau 2'!M25,"Max de répétitions et minimum 3",IF(B8='Niveau 2'!M26,"Max de répétitions et minimum 5",IF(B8=M27,"Max de répétitions et minimum 8",IF(B8=M28,"Max de répétitions et minimum 17",IF(B8=M29,"Max de répétitions et minimum 20",IF(B8=M30,"Max de répétitions et minimum 20",IF(B8=M31,"Max de répétitions et minimum 25",IF(B8=M32,"Max de répétitions et minimum 35",IF(B8=M33,"Max de répétitions et minimum 40",IF(B8=M34,"Max de répétitions et minimum 42",IF(B8=M35,"Max de répétitions et minimum 55",IF(B8=M36,"Max de répétitions et minimum 55",0))))))))))))</f>
        <v>0</v>
      </c>
      <c r="F25" s="66" t="s">
        <v>127</v>
      </c>
      <c r="G25" s="66" t="s">
        <v>127</v>
      </c>
      <c r="H25" s="13"/>
      <c r="M25" s="62" t="s">
        <v>10</v>
      </c>
      <c r="N25" s="62" t="s">
        <v>22</v>
      </c>
      <c r="O25" s="99" t="s">
        <v>29</v>
      </c>
    </row>
    <row r="26" spans="1:15" x14ac:dyDescent="0.25">
      <c r="A26" s="79" t="s">
        <v>155</v>
      </c>
      <c r="B26" s="68">
        <f>IF(B9='Niveau 2'!N25,"2",IF(B9='Niveau 2'!N26,"4",IF(B9=N27,"2",IF(B9=N28,"3",IF(B9=N29,6,IF(B9=N30,8,IF(B9=N31,12,IF(B9=N32,16,IF(B9=N33,20,IF(B9=N34,23,IF(B9=N35,25,0)))))))))))</f>
        <v>0</v>
      </c>
      <c r="C26" s="68">
        <f>IF(B9='Niveau 2'!N25,"7",IF(B9='Niveau 2'!N26,"9",IF(B9=N27,"3",IF(B9=N28,"5",IF(B9=N29,8,IF(B9=N30,11,IF(B9=N31,16,IF(B9=N32,18,IF(B9=N33,25,IF(B9=N34,27,IF(B9=N35,28,0)))))))))))</f>
        <v>0</v>
      </c>
      <c r="D26" s="68">
        <f>IF(B9='Niveau 2'!N25,"5",IF(B9='Niveau 2'!N26,"6",IF(B9=N27,"2",IF(B9=N28,"3",IF(B9=N29,6,IF(B9=N30,8,IF(B9=N31,12,IF(B9=N32,15,IF(B9=N33,19,IF(B9=N34,22,IF(B9=N35,24,0)))))))))))</f>
        <v>0</v>
      </c>
      <c r="E26" s="68">
        <f>IF(B9='Niveau 2'!N25,"6",IF(B9='Niveau 2'!N26,"7",IF(B9=N27,"Max de répétitions et minimum 3",IF(B9=N28,"Max de répétitions et minimum 4",IF(B9=N29,"Max de répétitions et minimum 7",IF(B9=N30,"Max de répétitions et minimum 9",IF(B9=N31,"Max de répétitions et minimum 13",IF(B9=N32,"Max de répétitions et minimum 16",IF(B9=N33,"Max de répétitions et minimum 20",IF(B9=N34,"Max de répétitions et minimum 21",IF(B9=N35,"Max de répétitions et minimum 25",0)))))))))))</f>
        <v>0</v>
      </c>
      <c r="F26" s="66" t="s">
        <v>128</v>
      </c>
      <c r="G26" s="66" t="s">
        <v>127</v>
      </c>
      <c r="H26" s="13" t="str">
        <f>IF(OR(B9='Niveau 2'!N25,B9='Niveau 2'!N26),"Toutes les répétitions en excentrique","")</f>
        <v/>
      </c>
      <c r="M26" s="99" t="s">
        <v>11</v>
      </c>
      <c r="N26" s="99" t="s">
        <v>23</v>
      </c>
      <c r="O26" s="99" t="s">
        <v>30</v>
      </c>
    </row>
    <row r="27" spans="1:15" x14ac:dyDescent="0.25">
      <c r="A27" s="79" t="s">
        <v>148</v>
      </c>
      <c r="B27" s="68">
        <f>IF(B10='Niveau 2'!N25,"2",IF(B10='Niveau 2'!N26,"4",IF(B10=N27,"2",IF(B10=N28,"3",IF(B10=N29,6,IF(B10=N30,8,IF(B10=N31,12,IF(B10=N32,16,IF(B10=N33,20,IF(B10=N34,23,IF(B10=N35,25,0)))))))))))</f>
        <v>0</v>
      </c>
      <c r="C27" s="68">
        <f>IF(B10='Niveau 2'!N25,"7",IF(B10='Niveau 2'!N26,"9",IF(B10=N27,"3",IF(B10=N28,"5",IF(B10=N29,8,IF(B10=N30,11,IF(B10=N31,16,IF(B10=N32,18,IF(B10=N33,25,IF(B10=N34,27,IF(B10=N35,28,0)))))))))))</f>
        <v>0</v>
      </c>
      <c r="D27" s="68">
        <f>IF(B10='Niveau 2'!N25,"5",IF(B10='Niveau 2'!N26,"6",IF(B10=N27,"2",IF(B10=N28,"3",IF(B10=N29,6,IF(B10=N30,8,IF(B10=N31,12,IF(B10=N32,15,IF(B10=N33,19,IF(B10=N34,22,IF(B10=N35,24,0)))))))))))</f>
        <v>0</v>
      </c>
      <c r="E27" s="68">
        <f>IF(B10='Niveau 2'!N25,"6",IF(B10='Niveau 2'!N26,"7",IF(B10=N27,"Max de répétitions et minimum 3",IF(B10=N28,"Max de répétitions et minimum 4",IF(B10=N29,"Max de répétitions et minimum 7",IF(B10=N30,"Max de répétitions et minimum 9",IF(B10=N31,"Max de répétitions et minimum 13",IF(B10=N32,"Max de répétitions et minimum 16",IF(B10=N33,"Max de répétitions et minimum 20",IF(B10=N34,"Max de répétitions et minimum 21",IF(B10=N35,"Max de répétitions et minimum 25",0)))))))))))</f>
        <v>0</v>
      </c>
      <c r="F27" s="66" t="s">
        <v>127</v>
      </c>
      <c r="G27" s="66" t="s">
        <v>128</v>
      </c>
      <c r="H27" s="92" t="str">
        <f>IF(OR(B10='Niveau 2'!N25,B10='Niveau 2'!N26),"Toutes les répétitions en excentrique : voir vidéo","")</f>
        <v/>
      </c>
      <c r="M27" s="99" t="s">
        <v>12</v>
      </c>
      <c r="N27" s="99" t="s">
        <v>24</v>
      </c>
      <c r="O27" s="99" t="s">
        <v>31</v>
      </c>
    </row>
    <row r="28" spans="1:15" x14ac:dyDescent="0.25">
      <c r="A28" s="79" t="s">
        <v>328</v>
      </c>
      <c r="B28" s="68">
        <f>IF(B11='Niveau 2'!N25,"2",IF(B11='Niveau 2'!N26,"3",IF(B11=N27,"2",IF(B11=N28,"3",IF(B11=N29,6,IF(B11=N30,8,IF(B11=N31,12,IF(B11=N32,16,IF(B11=N33,20,IF(B11=N34,23,IF(B11=N35,25,0)))))))))))</f>
        <v>0</v>
      </c>
      <c r="C28" s="68">
        <f>IF(B11='Niveau 2'!N25,"3",IF(B11='Niveau 2'!N26,"2",IF(B11=N27,"3",IF(B11=N28,"5",IF(B11=N29,8,IF(B11=N30,11,IF(B11=N31,16,IF(B11=N32,18,IF(B11=N33,25,IF(B11=N34,27,IF(B11=N35,28,0)))))))))))</f>
        <v>0</v>
      </c>
      <c r="D28" s="68">
        <f>IF(B11='Niveau 2'!N25,"2",IF(B11='Niveau 2'!N26,"3",IF(B11=N27,"2",IF(B11=N28,"3",IF(B11=N29,6,IF(B11=N30,8,IF(B11=N31,12,IF(B11=N32,15,IF(B11=N33,19,IF(B11=N34,22,IF(B11=N35,24,0)))))))))))</f>
        <v>0</v>
      </c>
      <c r="E28" s="65">
        <f>IF(B11='Niveau 2'!N25,"Max de répétitions",IF(B11='Niveau 2'!N26,"Max de répétitions",IF(B11=N27,"Max de répétitions et minimum 3",IF(B11=N28,"Max de répétitions et minimum 4",IF(B11=N29,"Max de répétitions et minimum 7",IF(B11=N30,"Max de répétitions et minimum 9",IF(B11=N31,"Max de répétitions et minimum 13",IF(B11=N32,"Max de répétitions et minimum 16",IF(B11=N33,"Max de répétitions et minimum 20",IF(B11=N34,"Max de répétitions et minimum 21",IF(B11=N35,"Max de répétitions et minimum 25",0)))))))))))</f>
        <v>0</v>
      </c>
      <c r="F28" s="66" t="s">
        <v>131</v>
      </c>
      <c r="G28" s="66" t="s">
        <v>131</v>
      </c>
      <c r="H28" s="13"/>
      <c r="M28" s="99" t="s">
        <v>13</v>
      </c>
      <c r="N28" s="99" t="s">
        <v>25</v>
      </c>
      <c r="O28" s="99" t="s">
        <v>32</v>
      </c>
    </row>
    <row r="29" spans="1:15" x14ac:dyDescent="0.25">
      <c r="A29" s="79" t="s">
        <v>168</v>
      </c>
      <c r="B29" s="68">
        <f>IF(B12='Niveau 2'!N25,"2",IF(B12='Niveau 2'!N26,"3",IF(B12=N27,"2",IF(B12=N28,"3",IF(B12=N29,6,IF(B12=N30,8,IF(B12=N31,12,IF(B12=N32,16,IF(B12=N33,20,IF(B12=N34,23,IF(B12=N35,25,0)))))))))))</f>
        <v>0</v>
      </c>
      <c r="C29" s="68">
        <f>IF(B12='Niveau 2'!N25,"3",IF(B12='Niveau 2'!N26,"2",IF(B12=N27,"3",IF(B12=N28,"5",IF(B12=N29,8,IF(B12=N30,11,IF(B12=N31,16,IF(B12=N32,18,IF(B12=N33,25,IF(B12=N34,27,IF(B12=N35,28,0)))))))))))</f>
        <v>0</v>
      </c>
      <c r="D29" s="68">
        <f>IF(B12='Niveau 2'!N25,"Max de répétitions",IF(B12='Niveau 2'!N26,"Max de répétitions",IF(B12=N27,"Max de répétitions et minimum 3",IF(B12=N28,"Max de répétitions et minimum 4",IF(B12=N29,"Max de répétitions et minimum 7",IF(B12=N30,"Max de répétitions et minimum 9",IF(B12=N31,"Max de répétitions et minimum 13",IF(B12=N32,"Max de répétitions et minimum 16",IF(B12=N33,"Max de répétitions et minimum 20",IF(B12=N34,"Max de répétitions et minimum 21",IF(B12=N35,"Max de répétitions et minimum 25",0)))))))))))</f>
        <v>0</v>
      </c>
      <c r="E29" s="78"/>
      <c r="F29" s="66" t="s">
        <v>131</v>
      </c>
      <c r="G29" s="66" t="s">
        <v>131</v>
      </c>
      <c r="H29" s="13"/>
      <c r="M29" s="99" t="s">
        <v>14</v>
      </c>
      <c r="N29" s="99" t="s">
        <v>26</v>
      </c>
      <c r="O29" s="99" t="s">
        <v>33</v>
      </c>
    </row>
    <row r="30" spans="1:15" x14ac:dyDescent="0.25">
      <c r="A30" s="79" t="s">
        <v>157</v>
      </c>
      <c r="B30" s="68">
        <f>IF(B13='Niveau 2'!N25,"2",IF(B13='Niveau 2'!N26,"3",IF(B13=N27,"2",IF(B13=N28,"3",IF(B13=N29,6,IF(B13=N30,8,IF(B13=N31,12,IF(B13=N32,16,IF(B13=N33,20,IF(B13=N34,23,IF(B13=N35,25,0)))))))))))</f>
        <v>0</v>
      </c>
      <c r="C30" s="68">
        <f>IF(B13='Niveau 2'!N25,"3",IF(B13='Niveau 2'!N26,"2",IF(B13=N27,"3",IF(B13=N28,"5",IF(B13=N29,8,IF(B13=N30,11,IF(B13=N31,16,IF(B13=N32,18,IF(B13=N33,25,IF(B13=N34,27,IF(B13=N35,28,0)))))))))))</f>
        <v>0</v>
      </c>
      <c r="D30" s="71">
        <f>IF(B13='Niveau 2'!N25,"Max de répétitions",IF(B13='Niveau 2'!N26,"Max de répétitions",IF(B13=N27,"Max de répétitions et minimum 3",IF(B13=N28,"Max de répétitions et minimum 4",IF(B13=N29,"Max de répétitions et minimum 7",IF(B13=N30,"Max de répétitions et minimum 9",IF(B13=N31,"Max de répétitions et minimum 13",IF(B13=N32,"Max de répétitions et minimum 16",IF(B13=N33,"Max de répétitions et minimum 20",IF(B13=N34,"Max de répétitions et minimum 21",IF(B13=N35,"Max de répétitions et minimum 25",0)))))))))))</f>
        <v>0</v>
      </c>
      <c r="E30" s="78"/>
      <c r="F30" s="66" t="s">
        <v>131</v>
      </c>
      <c r="G30" s="78"/>
      <c r="H30" s="13"/>
      <c r="M30" s="99" t="s">
        <v>15</v>
      </c>
      <c r="N30" s="99" t="s">
        <v>27</v>
      </c>
      <c r="O30" s="99" t="s">
        <v>34</v>
      </c>
    </row>
    <row r="31" spans="1:15" ht="15.75" thickBot="1" x14ac:dyDescent="0.3">
      <c r="A31" s="88" t="s">
        <v>150</v>
      </c>
      <c r="B31" s="219" t="s">
        <v>324</v>
      </c>
      <c r="C31" s="220"/>
      <c r="D31" s="220"/>
      <c r="E31" s="220"/>
      <c r="F31" s="1"/>
      <c r="G31" s="1"/>
      <c r="H31" s="147" t="s">
        <v>325</v>
      </c>
      <c r="M31" s="99" t="s">
        <v>16</v>
      </c>
      <c r="N31" s="99" t="s">
        <v>13</v>
      </c>
      <c r="O31" s="99" t="s">
        <v>35</v>
      </c>
    </row>
    <row r="32" spans="1:15" x14ac:dyDescent="0.25">
      <c r="A32" s="60" t="s">
        <v>2</v>
      </c>
      <c r="B32" s="64" t="s">
        <v>3</v>
      </c>
      <c r="C32" s="64" t="s">
        <v>4</v>
      </c>
      <c r="D32" s="64" t="s">
        <v>5</v>
      </c>
      <c r="E32" s="64" t="s">
        <v>6</v>
      </c>
      <c r="F32" s="64" t="s">
        <v>124</v>
      </c>
      <c r="G32" s="64" t="s">
        <v>125</v>
      </c>
      <c r="H32" s="64" t="s">
        <v>123</v>
      </c>
      <c r="M32" s="99" t="s">
        <v>17</v>
      </c>
      <c r="N32" s="99" t="s">
        <v>14</v>
      </c>
      <c r="O32" s="99" t="s">
        <v>36</v>
      </c>
    </row>
    <row r="33" spans="1:15" x14ac:dyDescent="0.25">
      <c r="A33" s="79" t="s">
        <v>302</v>
      </c>
      <c r="B33" s="71">
        <f>IF(B15=O25,"4",IF(B15=O26,"8",IF(B15=O27,"16",IF(B15=O28,"22",IF(B15=O29,26,IF(B15=O30,32,IF(B15=O31,38,IF(B15=O32,44,IF(B15=O33,50,IF(B15=O34,52,IF(B15=O35,50,IF(B15=O36,50,IF(B15=O37,60,IF(B15=O38,74,0))))))))))))))</f>
        <v>0</v>
      </c>
      <c r="C33" s="65">
        <f>IF(B15=O25,"6",IF(B15=O26,"8",IF(B15=O27,"16",IF(B15=O28,"22",IF(B15=O29,26,IF(B15=O30,32,IF(B15=O31,36,IF(B15=O32,44,IF(B15=O33,50,IF(B15=O34,52,IF(B15=O35,42,IF(B15=O36,52,IF(B15=O37,60,IF(B15=O38,64,0))))))))))))))</f>
        <v>0</v>
      </c>
      <c r="D33" s="65">
        <f>IF(B15=O25,"6",IF(B15=O26,"8",IF(B15=O27,"16",IF(B15=O28,"22",IF(B15=O29,26,IF(B15=O30,30,IF(B15=O31,36,IF(B15=O32,40,IF(B15=O33,48,IF(B15=O34,54,IF(B15=O35,56,IF(B15=O36,56,IF(B15=O37,60,IF(B15=O38,54,0))))))))))))))</f>
        <v>0</v>
      </c>
      <c r="E33" s="71">
        <f>IF(B15=O25,"Max de répétitions et minimum 7",IF(B15=O26,"Max de répétitions et minimum 10",IF(B15=O27,"Max de répétitions et minimum 10",IF(B15=O28,"Max de répétitions et minimum 24",IF(B15=O29,"Max de répétitions et minimum 28",IF(B15=O30,"Max de répétitions et minimum 32",IF(B15=O31,"Max de répétitions et minimum 40",IF(B15=O32,"Max de répétitions et minimum 46",IF(B15=O33,"Max de répétitions et minimum 50",IF(B15=O34,"Max de répétitions et minimum 60",IF(B15=O35,"Max de répétitions et minimum 65",IF(B15=O36,"Max de répétitions et minimum 70",IF(B15=O37,"Max de répétitions et minimum 60",IF(B15=O38,"Max de répétitions et minimum 64",0))))))))))))))</f>
        <v>0</v>
      </c>
      <c r="F33" s="66" t="s">
        <v>130</v>
      </c>
      <c r="G33" s="66" t="s">
        <v>127</v>
      </c>
      <c r="H33" s="91" t="s">
        <v>138</v>
      </c>
      <c r="M33" s="99" t="s">
        <v>18</v>
      </c>
      <c r="N33" s="99" t="s">
        <v>15</v>
      </c>
      <c r="O33" s="99" t="s">
        <v>37</v>
      </c>
    </row>
    <row r="34" spans="1:15" x14ac:dyDescent="0.25">
      <c r="A34" s="79" t="s">
        <v>166</v>
      </c>
      <c r="B34" s="65">
        <f>IF(B16='Niveau 2'!N25,"2",IF(B16='Niveau 2'!N26,"3",IF(B16=N27,"2",IF(B16=N28,"3",IF(B16=N29,6,IF(B16=N30,8,IF(B16=N31,12,IF(B16=N32,16,IF(B16=N33,20,IF(B16=N34,23,IF(B16=N35,25,0)))))))))))</f>
        <v>0</v>
      </c>
      <c r="C34" s="68">
        <f>IF(B16='Niveau 2'!N25,"3",IF(B16='Niveau 2'!N26,"2",IF(B16=N27,"3",IF(B16=N28,"5",IF(B16=N29,8,IF(B16=N30,11,IF(B16=N31,16,IF(B16=N32,18,IF(B16=N33,25,IF(B16=N34,27,IF(B16=N35,28,0)))))))))))</f>
        <v>0</v>
      </c>
      <c r="D34" s="68">
        <f>IF(B16='Niveau 2'!N25,"2",IF(B16='Niveau 2'!N26,"3",IF(B16=N27,"2",IF(B16=N28,"3",IF(B16=N29,6,IF(B16=N30,8,IF(B16=N31,12,IF(B16=N32,15,IF(B16=N33,19,IF(B16=N34,22,IF(B16=N35,24,0)))))))))))</f>
        <v>0</v>
      </c>
      <c r="E34" s="71">
        <f>IF(B16='Niveau 2'!N25,"Max de répétitions",IF(B16='Niveau 2'!N26,"Max de répétitions",IF(B16=N27,"Max de répétitions et minimum 3",IF(B16=N28,"Max de répétitions et minimum 4",IF(B16=N29,"Max de répétitions et minimum 7",IF(B16=N30,"Max de répétitions et minimum 9",IF(B16=N31,"Max de répétitions et minimum 13",IF(B16=N32,"Max de répétitions et minimum 16",IF(B16=N33,"Max de répétitions et minimum 20",IF(B16=N34,"Max de répétitions et minimum 21",IF(B16=N35,"Max de répétitions et minimum 25",0)))))))))))</f>
        <v>0</v>
      </c>
      <c r="F34" s="66" t="s">
        <v>130</v>
      </c>
      <c r="G34" s="66" t="s">
        <v>127</v>
      </c>
      <c r="H34" s="92"/>
      <c r="M34" s="99" t="s">
        <v>19</v>
      </c>
      <c r="N34" s="99" t="s">
        <v>16</v>
      </c>
      <c r="O34" s="99" t="s">
        <v>38</v>
      </c>
    </row>
    <row r="35" spans="1:15" x14ac:dyDescent="0.25">
      <c r="A35" s="79" t="s">
        <v>174</v>
      </c>
      <c r="B35" s="71">
        <f>IF(B17='Niveau 2'!N25,"2",IF(B17='Niveau 2'!N26,"3",IF(B17=N27,"2",IF(B17=N28,"3",IF(B17=N29,6,IF(B17=N30,8,IF(B17=N31,12,IF(B17=N32,16,IF(B17=N33,20,IF(B17=N34,23,IF(B17=N35,25,0)))))))))))</f>
        <v>0</v>
      </c>
      <c r="C35" s="68">
        <f>IF(B17='Niveau 2'!N25,"3",IF(B17='Niveau 2'!N26,"2",IF(B17=N27,"3",IF(B17=N28,"5",IF(B17=N29,8,IF(B17=N30,11,IF(B17=N31,16,IF(B17=N32,18,IF(B17=N33,25,IF(B17=N34,27,IF(B17=N35,28,0)))))))))))</f>
        <v>0</v>
      </c>
      <c r="D35" s="71">
        <f>IF(B17='Niveau 2'!N25,"2",IF(B17='Niveau 2'!N26,"3",IF(B17=N27,"2",IF(B17=N28,"3",IF(B17=N29,6,IF(B17=N30,8,IF(B17=N31,12,IF(B17=N32,15,IF(B17=N33,19,IF(B17=N34,22,IF(B17=N35,24,0)))))))))))</f>
        <v>0</v>
      </c>
      <c r="E35" s="71">
        <f>IF(B17='Niveau 2'!N25,"Max de répétitions",IF(B17='Niveau 2'!N26,"Max de répétitions",IF(B17=N27,"Max de répétitions et minimum 3",IF(B17=N28,"Max de répétitions et minimum 4",IF(B17=N29,"Max de répétitions et minimum 7",IF(B17=N30,"Max de répétitions et minimum 9",IF(B17=N31,"Max de répétitions et minimum 13",IF(B17=N32,"Max de répétitions et minimum 16",IF(B17=N33,"Max de répétitions et minimum 20",IF(B17=N34,"Max de répétitions et minimum 21",IF(B17=N35,"Max de répétitions et minimum 25",0)))))))))))</f>
        <v>0</v>
      </c>
      <c r="F35" s="66" t="s">
        <v>130</v>
      </c>
      <c r="G35" s="66" t="s">
        <v>131</v>
      </c>
      <c r="H35" s="93" t="s">
        <v>137</v>
      </c>
      <c r="M35" s="99" t="s">
        <v>20</v>
      </c>
      <c r="N35" s="99" t="s">
        <v>28</v>
      </c>
      <c r="O35" s="99" t="s">
        <v>39</v>
      </c>
    </row>
    <row r="36" spans="1:15" x14ac:dyDescent="0.25">
      <c r="A36" s="90" t="s">
        <v>171</v>
      </c>
      <c r="B36" s="68">
        <f>IF(B18='Niveau 2'!M25,"2",IF(B18='Niveau 2'!M26,"5",IF(B18=M27,"8",IF(B18=M28,"12",IF(B18=M29,14,IF(B18=M30,17,IF(B18=M31,22,IF(B18=M32,27,IF(B18=M33,30,IF(B18=M34,30,IF(B18=M35,30,IF(B18=M36,35,0))))))))))))</f>
        <v>0</v>
      </c>
      <c r="C36" s="68">
        <f>IF(B18='Niveau 2'!M25,"3",IF(B18='Niveau 2'!M26,"6",IF(B18=M27,"9",IF(B18=M28,"17",IF(B18=M29,18,IF(B18=M30,19,IF(B18=M31,24,IF(B18=M32,29,IF(B18=M33,34,IF(B18=M34,39,IF(B18=M35,44,IF(B18=M36,49,0))))))))))))</f>
        <v>0</v>
      </c>
      <c r="D36" s="68">
        <f>IF(B18='Niveau 2'!M25,"2",IF(B18='Niveau 2'!M26,"4",IF(B18=M27,"7",IF(B18=M28,"13",IF(B18=M29,14,IF(B18=M30,15,IF(B18=M31,20,IF(B18=M32,25,IF(B18=M33,30,IF(B18=M34,35,IF(B18=M35,40,IF(B18=M36,45,0))))))))))))</f>
        <v>0</v>
      </c>
      <c r="E36" s="65">
        <f>IF(B18='Niveau 2'!M25,"Max de répétitions et minimum 3",IF(B18='Niveau 2'!M26,"Max de répétitions et minimum 5",IF(B18=M27,"Max de répétitions et minimum 8",IF(B18=M28,"Max de répétitions et minimum 17",IF(B18=M29,"Max de répétitions et minimum 20",IF(B18=M30,"Max de répétitions et minimum 20",IF(B18=M31,"Max de répétitions et minimum 25",IF(B18=M32,"Max de répétitions et minimum 35",IF(B18=M33,"Max de répétitions et minimum 40",IF(B18=M34,"Max de répétitions et minimum 42",IF(B18=M35,"Max de répétitions et minimum 55",IF(B18=M36,"Max de répétitions et minimum 55",0))))))))))))</f>
        <v>0</v>
      </c>
      <c r="F36" s="66" t="s">
        <v>173</v>
      </c>
      <c r="G36" s="66" t="s">
        <v>131</v>
      </c>
      <c r="H36" s="13"/>
      <c r="M36" s="99" t="s">
        <v>21</v>
      </c>
      <c r="N36" s="62"/>
      <c r="O36" s="99" t="s">
        <v>40</v>
      </c>
    </row>
    <row r="37" spans="1:15" x14ac:dyDescent="0.25">
      <c r="A37" s="90" t="s">
        <v>327</v>
      </c>
      <c r="B37" s="68">
        <f>IF(B19='Niveau 2'!N25,"2",IF(B19='Niveau 2'!N26,"3",IF(B19=N27,"2",IF(B19=N28,"3",IF(B19=N29,6,IF(B19=N30,8,IF(B19=N31,12,IF(B19=N32,16,IF(B19=N33,20,IF(B19=N34,23,IF(B19=N35,25,0)))))))))))</f>
        <v>0</v>
      </c>
      <c r="C37" s="68">
        <f>IF(B19='Niveau 2'!N25,"3",IF(B19='Niveau 2'!N26,"2",IF(B19=N27,"3",IF(B19=N28,"5",IF(B19=N29,8,IF(B19=N30,11,IF(B19=N31,16,IF(B19=N32,18,IF(B19=N33,25,IF(B19=N34,27,IF(B19=N35,28,0)))))))))))</f>
        <v>0</v>
      </c>
      <c r="D37" s="68">
        <f>IF(B19='Niveau 2'!N25,"Max de répétitions",IF(B19='Niveau 2'!N26,"Max de répétitions",IF(B19=N27,"Max de répétitions et minimum 3",IF(B19=N28,"Max de répétitions et minimum 4",IF(B19=N29,"Max de répétitions et minimum 7",IF(B19=N30,"Max de répétitions et minimum 9",IF(B19=N31,"Max de répétitions et minimum 13",IF(B19=N32,"Max de répétitions et minimum 16",IF(B19=N33,"Max de répétitions et minimum 20",IF(B19=N34,"Max de répétitions et minimum 21",IF(B19=N35,"Max de répétitions et minimum 25",0)))))))))))</f>
        <v>0</v>
      </c>
      <c r="E37" s="78"/>
      <c r="F37" s="66" t="s">
        <v>131</v>
      </c>
      <c r="G37" s="66" t="s">
        <v>131</v>
      </c>
      <c r="H37" s="13"/>
      <c r="M37" s="62"/>
      <c r="N37" s="62"/>
      <c r="O37" s="99" t="s">
        <v>41</v>
      </c>
    </row>
    <row r="38" spans="1:15" x14ac:dyDescent="0.25">
      <c r="A38" s="90" t="s">
        <v>161</v>
      </c>
      <c r="B38" s="68">
        <f>IF(B20='Niveau 2'!N25,"2",IF(B20='Niveau 2'!N26,"3",IF(B20=N27,"2",IF(B20=N28,"3",IF(B20=N29,6,IF(B20=N30,8,IF(B20=N31,12,IF(B20=N32,16,IF(B20=N33,20,IF(B20=N34,23,IF(B20=N35,25,0)))))))))))</f>
        <v>0</v>
      </c>
      <c r="C38" s="68">
        <f>IF(B20='Niveau 2'!N25,"3",IF(B20='Niveau 2'!N26,"2",IF(B20=N27,"3",IF(B20=N28,"5",IF(B20=N29,8,IF(B20=N30,11,IF(B20=N31,16,IF(B20=N32,18,IF(B20=N33,25,IF(B20=N34,27,IF(B20=N35,28,0)))))))))))</f>
        <v>0</v>
      </c>
      <c r="D38" s="68">
        <f>IF(B20='Niveau 2'!N25,"Max de répétitions",IF(B20='Niveau 2'!N26,"Max de répétitions",IF(B20=N27,"Max de répétitions et minimum 3",IF(B20=N28,"Max de répétitions et minimum 4",IF(B20=N29,"Max de répétitions et minimum 7",IF(B20=N30,"Max de répétitions et minimum 9",IF(B20=N31,"Max de répétitions et minimum 13",IF(B20=N32,"Max de répétitions et minimum 16",IF(B20=N33,"Max de répétitions et minimum 20",IF(B20=N34,"Max de répétitions et minimum 21",IF(B20=N35,"Max de répétitions et minimum 25",0)))))))))))</f>
        <v>0</v>
      </c>
      <c r="E38" s="78"/>
      <c r="F38" s="66" t="s">
        <v>131</v>
      </c>
      <c r="G38" s="78"/>
      <c r="H38" s="13"/>
      <c r="M38" s="62"/>
      <c r="N38" s="62"/>
      <c r="O38" s="99" t="s">
        <v>42</v>
      </c>
    </row>
    <row r="39" spans="1:15" ht="18" thickBot="1" x14ac:dyDescent="0.35">
      <c r="A39" s="214" t="s">
        <v>152</v>
      </c>
      <c r="B39" s="215"/>
      <c r="C39" s="215"/>
      <c r="D39" s="215"/>
      <c r="E39" s="215"/>
      <c r="F39" s="215"/>
      <c r="G39" s="215"/>
      <c r="H39" s="215"/>
      <c r="L39" s="63"/>
    </row>
    <row r="40" spans="1:15" x14ac:dyDescent="0.25">
      <c r="A40" s="72" t="s">
        <v>153</v>
      </c>
      <c r="B40" s="208" t="s">
        <v>324</v>
      </c>
      <c r="C40" s="209"/>
      <c r="D40" s="209"/>
      <c r="E40" s="209"/>
      <c r="F40" s="1"/>
      <c r="G40" s="1"/>
      <c r="H40" s="147" t="s">
        <v>325</v>
      </c>
    </row>
    <row r="41" spans="1:15" x14ac:dyDescent="0.25">
      <c r="A41" s="73" t="s">
        <v>2</v>
      </c>
      <c r="B41" s="74" t="s">
        <v>3</v>
      </c>
      <c r="C41" s="74" t="s">
        <v>4</v>
      </c>
      <c r="D41" s="74" t="s">
        <v>5</v>
      </c>
      <c r="E41" s="74" t="s">
        <v>6</v>
      </c>
      <c r="F41" s="74" t="s">
        <v>124</v>
      </c>
      <c r="G41" s="74" t="s">
        <v>125</v>
      </c>
      <c r="H41" s="74" t="s">
        <v>123</v>
      </c>
    </row>
    <row r="42" spans="1:15" x14ac:dyDescent="0.25">
      <c r="A42" s="79" t="s">
        <v>147</v>
      </c>
      <c r="B42" s="71">
        <f>IF(B8=M25,"3",IF(B8=M26,"6",IF(B8=M27,"9",IF(B8=M28,"14",IF(B8=M29,20,IF(B8=M30,10,IF(B8=M31,10,IF(B8=M32,19,IF(B8=M33,19,IF(B8=M34,20,IF(B8=M35,22,IF(B8=M36,22,0))))))))))))</f>
        <v>0</v>
      </c>
      <c r="C42" s="71">
        <f>IF(B8=M25,"4",IF(B8=M26,"7",IF(B8=M27,"10",IF(B8=M28,"19",IF(B8=M29,25,IF(B8=M30,13,IF(B8=M31,15,IF(B8=M32,22,IF(B8=M33,23,IF(B8=M34,23,IF(B8=M35,27,IF(B8=M36,30,0))))))))))))</f>
        <v>0</v>
      </c>
      <c r="D42" s="65">
        <f>IF(B8=M25,"2",IF(B8=M26,"6",IF(B8=M27,"8",IF(B8=M28,"14",IF(B8=M29,15,IF(B8=M30,10,IF(B8=M31,18,IF(B8=M32,18,IF(B8=M33,19,IF(B8=M34,20,IF(B8=M27,24,IF(B8=M36,24,0))))))))))))</f>
        <v>0</v>
      </c>
      <c r="E42" s="65">
        <f>IF(B8=M25,"Max de répétitions et minimum 4",IF(B8=M26,"Max de répétitions et minimum 7",IF(B8=M27,"Max de répétitions et minimum 10",IF(B8=M28,"Max de répétitions et minimum 19",IF(B8=M29,"Max de répétitions et minimum 23",IF(B8=M30,"Max de répétitions et minimum 25",IF(B8=M31,"Max de répétitions et minimum 30",IF(B8=M32,"Max de répétitions et minimum 35",IF(B8=M33,"Max de répétitions et minimum 37",IF(B8=M34,"Max de répétitions et minimum 53",IF(B8=M35,"Max de répétitions et minimum 58",IF(B8=M36,"Max de répétitions et minimum 59",0))))))))))))</f>
        <v>0</v>
      </c>
      <c r="F42" s="66" t="s">
        <v>127</v>
      </c>
      <c r="G42" s="66" t="s">
        <v>127</v>
      </c>
      <c r="H42" s="13"/>
    </row>
    <row r="43" spans="1:15" x14ac:dyDescent="0.25">
      <c r="A43" s="79" t="s">
        <v>155</v>
      </c>
      <c r="B43" s="68">
        <f>IF(B9=N25,"3",IF(B9=N26,"5",IF(B9=N27,"2",IF(B9=N28,"4",IF(B9=N29,6,IF(B9=N30,9,IF(B9=N31,13,IF(B9=N32,16,IF(B9=N33,22,IF(B9=N34,24,IF(B9=N35,25,0)))))))))))</f>
        <v>0</v>
      </c>
      <c r="C43" s="68">
        <f>IF(B9=N25,"8",IF(B9=N26,"9",IF(B9=N27,"3",IF(B9=N28,"6",IF(B9=N29,9,IF(B9=N30,12,IF(B9=N31,16,IF(B9=N32,20,IF(B9=N33,25,IF(B9=N34,28,IF(B9=N35,29,0)))))))))))</f>
        <v>0</v>
      </c>
      <c r="D43" s="71">
        <f>IF(B9=N25,"6",IF(B9=N26,"7",IF(B9=N27,"2",IF(B9=N28,"4",IF(B9=N29,6,IF(B9=N30,9,IF(B9=N31,12,IF(B9=N32,16,IF(B9=N33,21,IF(B9=N34,24,IF(B9=N35,25,0)))))))))))</f>
        <v>0</v>
      </c>
      <c r="E43" s="68">
        <f>IF(B9=N25,"6",IF(B9=N26,"7",IF(B9=N27,"Max de répétitions et minimum 4",IF(B9=N28,"Max de répétitions et minimum 6",IF(B9=N29,"Max de répétitions et minimum 9",IF(B9=N30,"Max de répétitions et minimum 11",IF(B9=N31,"Max de répétitions et minimum 16",IF(B9=N32,"Max de répétitions et minimum 19",IF(B9=N33,"Max de répétitions et minimum 25",IF(B9=N34,"Max de répétitions et minimum 28",IF(B9=N35,"Max de répétitions et minimum 28",0)))))))))))</f>
        <v>0</v>
      </c>
      <c r="F43" s="66" t="s">
        <v>128</v>
      </c>
      <c r="G43" s="66" t="s">
        <v>127</v>
      </c>
      <c r="H43" s="94" t="str">
        <f>IF(OR(B9='Niveau 2'!N25,B9='Niveau 2'!N26),"Toutes les répétitions en excentrique","")</f>
        <v/>
      </c>
    </row>
    <row r="44" spans="1:15" x14ac:dyDescent="0.25">
      <c r="A44" s="79" t="s">
        <v>148</v>
      </c>
      <c r="B44" s="71">
        <f>IF(B10=N25,"3",IF(B10=N26,"5",IF(B10=N27,"2",IF(B10=N28,"4",IF(B10=N29,6,IF(B10=N30,9,IF(B10=N31,13,IF(B10=N32,16,IF(B10=N33,22,IF(B10=N34,24,IF(B10=N35,25,0)))))))))))</f>
        <v>0</v>
      </c>
      <c r="C44" s="71">
        <f>IF(B10=N25,"8",IF(B10=N26,"9",IF(B10=N27,"3",IF(B10=N28,"6",IF(B10=N29,9,IF(B10=N30,12,IF(B10=N31,16,IF(B10=N32,20,IF(B10=N33,25,IF(B10=N34,28,IF(B10=N35,29,0)))))))))))</f>
        <v>0</v>
      </c>
      <c r="D44" s="68">
        <f>IF(B10=N25,"6",IF(B10=N26,"7",IF(B10=N27,"2",IF(B10=N28,"4",IF(B10=N29,6,IF(B10=N30,9,IF(B10=N31,12,IF(B10=N32,16,IF(B10=N33,21,IF(B10=N34,24,IF(B10=N35,25,0)))))))))))</f>
        <v>0</v>
      </c>
      <c r="E44" s="71">
        <f>IF(B10=N25,"6",IF(B10=N26,"7",IF(B10=N27,"Max de répétitions et minimum 4",IF(B10=N28,"Max de répétitions et minimum 6",IF(B10=N29,"Max de répétitions et minimum 9",IF(B10=N30,"Max de répétitions et minimum 11",IF(B10=N31,"Max de répétitions et minimum 16",IF(B10=N32,"Max de répétitions et minimum 19",IF(B10=N33,"Max de répétitions et minimum 25",IF(B10=N34,"Max de répétitions et minimum 28",IF(B10=N35,"Max de répétitions et minimum 28",0)))))))))))</f>
        <v>0</v>
      </c>
      <c r="F44" s="66" t="s">
        <v>127</v>
      </c>
      <c r="G44" s="66" t="s">
        <v>128</v>
      </c>
      <c r="H44" s="92" t="str">
        <f>IF(OR(B10='Niveau 2'!N25,B10='Niveau 2'!N26),"Toutes les répétitions en excentrique : voir vidéo","")</f>
        <v/>
      </c>
    </row>
    <row r="45" spans="1:15" x14ac:dyDescent="0.25">
      <c r="A45" s="79" t="s">
        <v>328</v>
      </c>
      <c r="B45" s="68">
        <f>IF(B11=N25,"3",IF(B11=N26,"3",IF(B11=N27,"2",IF(B11=N28,"4",IF(B11=N29,6,IF(B11=N30,9,IF(B11=N31,13,IF(B11=N32,16,IF(B11=N33,22,IF(B11=N34,24,IF(B11=N35,25,0)))))))))))</f>
        <v>0</v>
      </c>
      <c r="C45" s="71">
        <f>IF(B11=N25,"3",IF(B11=N26,"4",IF(B11=N27,"3",IF(B11=N28,"6",IF(B11=N29,9,IF(B11=N30,12,IF(B11=N31,16,IF(B11=N32,20,IF(B11=N33,25,IF(B11=N34,28,IF(B11=N35,29,0)))))))))))</f>
        <v>0</v>
      </c>
      <c r="D45" s="71">
        <f>IF(B11=N25,"2",IF(B11=N26,"3",IF(B11=N27,"2",IF(B11=N28,"4",IF(B11=N29,6,IF(B11=N30,9,IF(B11=N31,12,IF(B11=N32,16,IF(B11=N33,21,IF(B11=N34,24,IF(B11=N35,25,0)))))))))))</f>
        <v>0</v>
      </c>
      <c r="E45" s="65">
        <f>IF(B11=N25,"Max de répétitions",IF(B11=N26,"Max de répétitions",IF(B11=N27,"Max de répétitions et minimum 4",IF(B11=N28,"Max de répétitions et minimum 6",IF(B11=N29,"Max de répétitions et minimum 9",IF(B11=N30,"Max de répétitions et minimum 11",IF(B11=N31,"Max de répétitions et minimum 16",IF(B11=N32,"Max de répétitions et minimum 19",IF(B11=N33,"Max de répétitions et minimum 25",IF(B11=N34,"Max de répétitions et minimum 28",IF(B11=N35,"Max de répétitions et minimum 28",0)))))))))))</f>
        <v>0</v>
      </c>
      <c r="F45" s="66" t="s">
        <v>131</v>
      </c>
      <c r="G45" s="66" t="s">
        <v>131</v>
      </c>
      <c r="H45" s="13"/>
    </row>
    <row r="46" spans="1:15" x14ac:dyDescent="0.25">
      <c r="A46" s="79" t="s">
        <v>168</v>
      </c>
      <c r="B46" s="68">
        <f>IF(B12=N25,"3",IF(B12=N26,"3",IF(B12=N27,"2",IF(B12=N28,"4",IF(B12=N29,6,IF(B12=N30,9,IF(B12=N31,13,IF(B12=N32,16,IF(B12=N33,22,IF(B12=N34,24,IF(B12=N35,25,0)))))))))))</f>
        <v>0</v>
      </c>
      <c r="C46" s="71">
        <f>IF(B12=N25,"3",IF(B12=N26,"4",IF(B12=N27,"3",IF(B12=N28,"6",IF(B12=N29,9,IF(B12=N30,12,IF(B12=N31,16,IF(B12=N32,20,IF(B12=N33,25,IF(B12=N34,28,IF(B12=N35,29,0)))))))))))</f>
        <v>0</v>
      </c>
      <c r="D46" s="71">
        <f>IF(B12=N25,"Max de répétitions",IF(B12=N26,"Max de répétitions",IF(B12=N27,"Max de répétitions et minimum 4",IF(B12=N28,"Max de répétitions et minimum 6",IF(B12=N29,"Max de répétitions et minimum 9",IF(B12=N30,"Max de répétitions et minimum 11",IF(B12=N31,"Max de répétitions et minimum 16",IF(B12=N32,"Max de répétitions et minimum 19",IF(B12=N33,"Max de répétitions et minimum 25",IF(B12=N34,"Max de répétitions et minimum 28",IF(B12=N35,"Max de répétitions et minimum 28",0)))))))))))</f>
        <v>0</v>
      </c>
      <c r="E46" s="78"/>
      <c r="F46" s="66" t="s">
        <v>131</v>
      </c>
      <c r="G46" s="66" t="s">
        <v>131</v>
      </c>
      <c r="H46" s="13"/>
    </row>
    <row r="47" spans="1:15" x14ac:dyDescent="0.25">
      <c r="A47" s="79" t="s">
        <v>157</v>
      </c>
      <c r="B47" s="68">
        <f>IF(B13=N25,"3",IF(B13=N26,"3",IF(B13=N27,"2",IF(B13=N28,"4",IF(B13=N29,6,IF(B13=N30,9,IF(B13=N31,13,IF(B13=N32,16,IF(B13=N33,22,IF(B13=N34,24,IF(B13=N35,25,0)))))))))))</f>
        <v>0</v>
      </c>
      <c r="C47" s="71">
        <f>IF(B13=N25,"3",IF(B13=N26,"4",IF(B13=N27,"3",IF(B13=N28,"6",IF(B13=N29,9,IF(B13=N30,12,IF(B13=N31,16,IF(B13=N32,20,IF(B13=N33,25,IF(B13=N34,28,IF(B13=N35,29,0)))))))))))</f>
        <v>0</v>
      </c>
      <c r="D47" s="68">
        <f>IF(B13=N25,"Max de répétitions",IF(B13=N26,"Max de répétitions",IF(B13=N27,"Max de répétitions et minimum 4",IF(B13=N28,"Max de répétitions et minimum 6",IF(B13=N29,"Max de répétitions et minimum 9",IF(B13=N30,"Max de répétitions et minimum 11",IF(B13=N31,"Max de répétitions et minimum 16",IF(B13=N32,"Max de répétitions et minimum 19",IF(B13=N33,"Max de répétitions et minimum 25",IF(B13=N34,"Max de répétitions et minimum 28",IF(B13=N35,"Max de répétitions et minimum 28",0)))))))))))</f>
        <v>0</v>
      </c>
      <c r="E47" s="78"/>
      <c r="F47" s="66" t="s">
        <v>131</v>
      </c>
      <c r="G47" s="78"/>
      <c r="H47" s="93"/>
    </row>
    <row r="48" spans="1:15" x14ac:dyDescent="0.25">
      <c r="A48" s="95" t="s">
        <v>156</v>
      </c>
      <c r="B48" s="216" t="s">
        <v>324</v>
      </c>
      <c r="C48" s="217"/>
      <c r="D48" s="217"/>
      <c r="E48" s="217"/>
      <c r="F48" s="1"/>
      <c r="G48" s="1"/>
      <c r="H48" s="147" t="s">
        <v>325</v>
      </c>
    </row>
    <row r="49" spans="1:8" x14ac:dyDescent="0.25">
      <c r="A49" s="73" t="s">
        <v>2</v>
      </c>
      <c r="B49" s="74" t="s">
        <v>3</v>
      </c>
      <c r="C49" s="74" t="s">
        <v>4</v>
      </c>
      <c r="D49" s="74" t="s">
        <v>5</v>
      </c>
      <c r="E49" s="74" t="s">
        <v>6</v>
      </c>
      <c r="F49" s="74" t="s">
        <v>124</v>
      </c>
      <c r="G49" s="74" t="s">
        <v>125</v>
      </c>
      <c r="H49" s="74" t="s">
        <v>123</v>
      </c>
    </row>
    <row r="50" spans="1:8" x14ac:dyDescent="0.25">
      <c r="A50" s="79" t="s">
        <v>302</v>
      </c>
      <c r="B50" s="71">
        <f>IF(B15=O25,"6",IF(B15=O26,"10",IF(B15=O27,"16",IF(B15=O28,"22",IF(B15=O29,26,IF(B15=O30,32,IF(B15=O31,40,IF(B15=O32,44,IF(B15=O33,50,IF(B15=O34,54,IF(B15=O35,50,IF(B15=O36,50,IF(B15=O37,58,IF(B15=O38,64,0))))))))))))))</f>
        <v>0</v>
      </c>
      <c r="C50" s="65">
        <f>IF(B15=O25,"6",IF(B15=O26,"10",IF(B15=O27,"14",IF(B15=O28,"22",IF(B15=O29,26,IF(B15=O30,32,IF(B15=O31,38,IF(B15=O32,44,IF(B15=O33,50,IF(B15=O34,54,IF(B15=O35,50,IF(B15=O36,52,IF(B15=O37,54,IF(B15=O38,64,0))))))))))))))</f>
        <v>0</v>
      </c>
      <c r="D50" s="65">
        <f>IF(B15=O25,"6",IF(B15=O26,"10",IF(B15=O27,"15",IF(B15=O28,"23",IF(B15=O29,27,IF(B15=O30,32,IF(B15=O31,38,IF(B15=O32,46,IF(B15=O33,50,IF(B15=O34,54,IF(B15=O35,42,IF(B15=O36,54,IF(B15=O37,57,IF(B15=O38,62,0))))))))))))))</f>
        <v>0</v>
      </c>
      <c r="E50" s="71">
        <f>IF(B15=O25,"Max de répétitions et minimum 8",IF(B15=O26,"Max de répétitions et minimum 10",IF(B15=O27,"Max de répétitions et minimum 18",IF(B15=O28,"Max de répétitions et minimum 24",IF(B15=O29,"Max de répétitions et minimum 28",IF(B15=O30,"Max de répétitions et minimum 34",IF(B15=O31,"Max de répétitions et minimum 40",IF(B15=O32,"Max de répétitions et minimum 46",IF(B15=O33,"Max de répétitions et minimum 52",IF(B15=O34,"Max de répétitions et minimum 60",IF(B15=O35,"Max de répétitions et minimum 44",IF(B15=O36,"Max de répétitions et minimum 56",IF(B15=O37,"Max de répétitions et minimum 60",IF(B15=O38,"Max de répétitions et minimum 64",0))))))))))))))</f>
        <v>0</v>
      </c>
      <c r="F50" s="66" t="s">
        <v>130</v>
      </c>
      <c r="G50" s="66" t="s">
        <v>127</v>
      </c>
      <c r="H50" s="91" t="s">
        <v>138</v>
      </c>
    </row>
    <row r="51" spans="1:8" x14ac:dyDescent="0.25">
      <c r="A51" s="79" t="s">
        <v>166</v>
      </c>
      <c r="B51" s="65">
        <f>IF(B16=N25,"3",IF(B16=N26,"3",IF(B16=N27,"2",IF(B16=N28,"4",IF(B16=N29,6,IF(B16=N30,9,IF(B16=N31,13,IF(B16=N32,16,IF(B16=N33,22,IF(B16=N34,24,IF(B16=N35,25,0)))))))))))</f>
        <v>0</v>
      </c>
      <c r="C51" s="68">
        <f>IF(B16=N25,"3",IF(B16=N26,"4",IF(B16=N27,"3",IF(B16=N28,"6",IF(B16=N29,9,IF(B16=N30,12,IF(B16=N31,16,IF(B16=N32,20,IF(B16=N33,25,IF(B16=N34,28,IF(B16=N35,29,0)))))))))))</f>
        <v>0</v>
      </c>
      <c r="D51" s="68">
        <f>IF(B16=N25,"2",IF(B16=N26,"3",IF(B16=N27,"2",IF(B16=N28,"4",IF(B16=N29,6,IF(B16=N30,9,IF(B16=N31,12,IF(B16=N32,16,IF(B16=N33,21,IF(B16=N34,24,IF(B16=N35,25,0)))))))))))</f>
        <v>0</v>
      </c>
      <c r="E51" s="71">
        <f>IF(B16=N25,"Max de répétitions",IF(B16=N26,"Max de répétitions",IF(B16=N27,"Max de répétitions et minimum 4",IF(B16=N28,"Max de répétitions et minimum 6",IF(B16=N29,"Max de répétitions et minimum 9",IF(B16=N30,"Max de répétitions et minimum 11",IF(B16=N31,"Max de répétitions et minimum 16",IF(B16=N32,"Max de répétitions et minimum 19",IF(B16=N33,"Max de répétitions et minimum 25",IF(B16=N34,"Max de répétitions et minimum 28",IF(B16=N35,"Max de répétitions et minimum 28",0)))))))))))</f>
        <v>0</v>
      </c>
      <c r="F51" s="66" t="s">
        <v>130</v>
      </c>
      <c r="G51" s="66" t="s">
        <v>169</v>
      </c>
      <c r="H51" s="96"/>
    </row>
    <row r="52" spans="1:8" x14ac:dyDescent="0.25">
      <c r="A52" s="79" t="s">
        <v>174</v>
      </c>
      <c r="B52" s="71">
        <f>IF(B17=N25,"3",IF(B17=N26,"3",IF(B17=N27,"2",IF(B17=N28,"4",IF(B17=N29,6,IF(B17=N30,9,IF(B17=N31,13,IF(B17=N32,16,IF(B17=N33,22,IF(B17=N34,24,IF(B17=N35,25,0)))))))))))</f>
        <v>0</v>
      </c>
      <c r="C52" s="68">
        <f>IF(B17=N25,"3",IF(B17=N26,"4",IF(B17=N27,"3",IF(B17=N28,"6",IF(B17=N29,9,IF(B17=N30,12,IF(B17=N31,16,IF(B17=N32,20,IF(B17=N33,25,IF(B17=N34,28,IF(B17=N35,29,0)))))))))))</f>
        <v>0</v>
      </c>
      <c r="D52" s="71">
        <f>IF(B17=N25,"2",IF(B17=N26,"3",IF(B17=N27,"2",IF(B17=N28,"4",IF(B17=N29,6,IF(B17=N30,9,IF(B17=N31,12,IF(B17=N32,16,IF(B17=N33,21,IF(B17=N34,24,IF(B17=N35,25,0)))))))))))</f>
        <v>0</v>
      </c>
      <c r="E52" s="71">
        <f>IF(B17=N25,"Max de répétitions",IF(B17=N26,"Max de répétitions",IF(B17=N27,"Max de répétitions et minimum 4",IF(B17=N28,"Max de répétitions et minimum 6",IF(B17=N29,"Max de répétitions et minimum 9",IF(B17=N30,"Max de répétitions et minimum 11",IF(B17=N31,"Max de répétitions et minimum 16",IF(B17=N32,"Max de répétitions et minimum 19",IF(B17=N33,"Max de répétitions et minimum 25",IF(B17=N34,"Max de répétitions et minimum 28",IF(B17=N35,"Max de répétitions et minimum 28",0)))))))))))</f>
        <v>0</v>
      </c>
      <c r="F52" s="66" t="s">
        <v>130</v>
      </c>
      <c r="G52" s="66" t="s">
        <v>131</v>
      </c>
      <c r="H52" s="93" t="s">
        <v>137</v>
      </c>
    </row>
    <row r="53" spans="1:8" x14ac:dyDescent="0.25">
      <c r="A53" s="90" t="s">
        <v>171</v>
      </c>
      <c r="B53" s="68">
        <f>IF(B18=M25,"3",IF(B18=M26,"6",IF(B18=M27,"9",IF(B18=M28,"14",IF(B18=M29,20,IF(B18=M30,10,IF(B18=M31,10,IF(B18=M32,19,IF(B18=M33,19,IF(B18=M34,20,IF(B18=M35,22,IF(B18=M36,22,0))))))))))))</f>
        <v>0</v>
      </c>
      <c r="C53" s="68">
        <f>IF(B18=M25,"4",IF(B18=M26,"7",IF(B18=M27,"10",IF(B18=M28,"19",IF(B18=M29,25,IF(B18=M30,13,IF(B18=M31,15,IF(B18=M32,22,IF(B18=M33,23,IF(B18=M34,23,IF(B18=M35,27,IF(B18=M36,30,0))))))))))))</f>
        <v>0</v>
      </c>
      <c r="D53" s="68">
        <f>IF(B18=M25,"2",IF(B18=M26,"6",IF(B18=M27,"8",IF(B18=M28,"14",IF(B18=M29,15,IF(B18=M30,10,IF(B18=M31,18,IF(B18=M32,18,IF(B18=M33,19,IF(B18=M34,20,IF(B18=M27,24,IF(B18=M36,24,0))))))))))))</f>
        <v>0</v>
      </c>
      <c r="E53" s="65">
        <f>IF(B18=M25,"Max de répétitions et minimum 4",IF(B18=M26,"Max de répétitions et minimum 7",IF(B18=M27,"Max de répétitions et minimum 10",IF(B18=M28,"Max de répétitions et minimum 19",IF(B18=M29,"Max de répétitions et minimum 23",IF(B18=M30,"Max de répétitions et minimum 25",IF(B18=M31,"Max de répétitions et minimum 30",IF(B18=M32,"Max de répétitions et minimum 35",IF(B18=M33,"Max de répétitions et minimum 37",IF(B18=M34,"Max de répétitions et minimum 53",IF(B18=M35,"Max de répétitions et minimum 58",IF(B18=M36,"Max de répétitions et minimum 59",0))))))))))))</f>
        <v>0</v>
      </c>
      <c r="F53" s="66" t="s">
        <v>173</v>
      </c>
      <c r="G53" s="66" t="s">
        <v>131</v>
      </c>
      <c r="H53" s="96"/>
    </row>
    <row r="54" spans="1:8" x14ac:dyDescent="0.25">
      <c r="A54" s="90" t="s">
        <v>327</v>
      </c>
      <c r="B54" s="68">
        <f>IF(B19=N25,"3",IF(B19=N26,"3",IF(B19=N27,"2",IF(B19=N28,"4",IF(B19=N29,6,IF(B19=N30,9,IF(B19=N31,13,IF(B19=N32,16,IF(B19=N33,22,IF(B19=N34,24,IF(B19=N35,25,0)))))))))))</f>
        <v>0</v>
      </c>
      <c r="C54" s="68">
        <f>IF(B19=N25,"3",IF(B19=N26,"4",IF(B19=N27,"3",IF(B19=N28,"6",IF(B19=N29,9,IF(B19=N30,12,IF(B19=N31,16,IF(B19=N32,20,IF(B19=N33,25,IF(B19=N34,28,IF(B19=N35,29,0)))))))))))</f>
        <v>0</v>
      </c>
      <c r="D54" s="68">
        <f>IF(B19=N25,"Max de répétitions",IF(B19=N26,"Max de répétitions",IF(B19=N27,"Max de répétitions et minimum 4",IF(B19=N28,"Max de répétitions et minimum 6",IF(B19=N29,"Max de répétitions et minimum 9",IF(B19=N30,"Max de répétitions et minimum 11",IF(B19=N31,"Max de répétitions et minimum 16",IF(B19=N32,"Max de répétitions et minimum 19",IF(B19=N33,"Max de répétitions et minimum 25",IF(B19=N34,"Max de répétitions et minimum 28",IF(B19=N35,"Max de répétitions et minimum 28",0)))))))))))</f>
        <v>0</v>
      </c>
      <c r="E54" s="89"/>
      <c r="F54" s="66" t="s">
        <v>131</v>
      </c>
      <c r="G54" s="66" t="s">
        <v>131</v>
      </c>
      <c r="H54" s="96"/>
    </row>
    <row r="55" spans="1:8" x14ac:dyDescent="0.25">
      <c r="A55" s="90" t="s">
        <v>161</v>
      </c>
      <c r="B55" s="68">
        <f>IF(B20=N25,"3",IF(B20=N26,"3",IF(B20=N27,"2",IF(B20=N28,"4",IF(B20=N29,6,IF(B20=N30,9,IF(B20=N31,13,IF(B20=N32,16,IF(B20=N33,22,IF(B20=N34,24,IF(B20=N35,25,0)))))))))))</f>
        <v>0</v>
      </c>
      <c r="C55" s="68">
        <f>IF(B20=N25,"3",IF(B20=N26,"4",IF(B20=N27,"3",IF(B20=N28,"6",IF(B20=N29,9,IF(B20=N30,12,IF(B20=N31,16,IF(B20=N32,20,IF(B20=N33,25,IF(B20=N34,28,IF(B20=N35,29,0)))))))))))</f>
        <v>0</v>
      </c>
      <c r="D55" s="68">
        <f>IF(B20=N25,"Max de répétitions",IF(B20=N26,"Max de répétitions",IF(B20=N27,"Max de répétitions et minimum 4",IF(B20=N28,"Max de répétitions et minimum 6",IF(B20=N29,"Max de répétitions et minimum 9",IF(B20=N30,"Max de répétitions et minimum 11",IF(B20=N31,"Max de répétitions et minimum 16",IF(B20=N32,"Max de répétitions et minimum 19",IF(B20=N33,"Max de répétitions et minimum 25",IF(B20=N34,"Max de répétitions et minimum 28",IF(B20=N35,"Max de répétitions et minimum 28",0)))))))))))</f>
        <v>0</v>
      </c>
      <c r="E55" s="89"/>
      <c r="F55" s="66" t="s">
        <v>131</v>
      </c>
      <c r="G55" s="89"/>
      <c r="H55" s="96"/>
    </row>
    <row r="56" spans="1:8" x14ac:dyDescent="0.25">
      <c r="A56" s="214" t="s">
        <v>139</v>
      </c>
      <c r="B56" s="215"/>
      <c r="C56" s="215"/>
      <c r="D56" s="215"/>
      <c r="E56" s="215"/>
      <c r="F56" s="215"/>
      <c r="G56" s="215"/>
      <c r="H56" s="215"/>
    </row>
    <row r="57" spans="1:8" x14ac:dyDescent="0.25">
      <c r="A57" s="214" t="s">
        <v>140</v>
      </c>
      <c r="B57" s="215"/>
      <c r="C57" s="215"/>
      <c r="D57" s="215"/>
      <c r="E57" s="215"/>
      <c r="F57" s="215"/>
      <c r="G57" s="215"/>
      <c r="H57" s="215"/>
    </row>
    <row r="58" spans="1:8" s="1" customFormat="1" x14ac:dyDescent="0.25">
      <c r="A58" s="77"/>
      <c r="B58" s="77"/>
      <c r="C58" s="77"/>
      <c r="D58" s="77"/>
      <c r="E58" s="77"/>
      <c r="F58" s="77"/>
      <c r="G58" s="77"/>
      <c r="H58" s="77"/>
    </row>
    <row r="59" spans="1:8" ht="15.75" thickBot="1" x14ac:dyDescent="0.3">
      <c r="A59" s="213" t="s">
        <v>141</v>
      </c>
      <c r="B59" s="213"/>
      <c r="C59" s="213"/>
      <c r="D59" s="213"/>
      <c r="E59" s="213"/>
      <c r="F59" s="213"/>
      <c r="G59" s="213"/>
      <c r="H59" s="213"/>
    </row>
    <row r="60" spans="1:8" x14ac:dyDescent="0.25">
      <c r="A60" s="72" t="s">
        <v>151</v>
      </c>
      <c r="B60" s="208" t="s">
        <v>324</v>
      </c>
      <c r="C60" s="209"/>
      <c r="D60" s="209"/>
      <c r="E60" s="209"/>
      <c r="F60" s="1"/>
      <c r="G60" s="1"/>
      <c r="H60" s="147" t="s">
        <v>325</v>
      </c>
    </row>
    <row r="61" spans="1:8" x14ac:dyDescent="0.25">
      <c r="A61" s="73" t="s">
        <v>2</v>
      </c>
      <c r="B61" s="74" t="s">
        <v>3</v>
      </c>
      <c r="C61" s="74" t="s">
        <v>4</v>
      </c>
      <c r="D61" s="74" t="s">
        <v>5</v>
      </c>
      <c r="E61" s="74" t="s">
        <v>6</v>
      </c>
      <c r="F61" s="74" t="s">
        <v>124</v>
      </c>
      <c r="G61" s="74" t="s">
        <v>125</v>
      </c>
      <c r="H61" s="74" t="s">
        <v>123</v>
      </c>
    </row>
    <row r="62" spans="1:8" x14ac:dyDescent="0.25">
      <c r="A62" s="79" t="s">
        <v>328</v>
      </c>
      <c r="B62" s="65">
        <f>IF(B11=N25,"4",IF(B11=N26,"6",IF(B11=N27,"3",IF(B11=N28,"5",IF(B11=N29,7,IF(B11=N30,9,IF(B11=N31,13,IF(B11=N32,17,IF(B11=N33,23,IF(B11=N34,25,IF(B11=N35,25,0)))))))))))</f>
        <v>0</v>
      </c>
      <c r="C62" s="65">
        <f>IF(B11=N25,"4",IF(B11=N26,"5",IF(B11=N27,"4",IF(B11=N28,"7",IF(B11=N29,10,IF(B11=N30,13,IF(B11=N31,16,IF(B11=N32,21,IF(B11=N33,26,IF(B11=N34,29,IF(B11=N35,30,0)))))))))))</f>
        <v>0</v>
      </c>
      <c r="D62" s="65">
        <f>IF(B11=N25,"3",IF(B11=N26,"4",IF(B11=N27,"2",IF(B11=N28,"5",IF(B11=N29,6,IF(B11=N30,9,IF(B11=N31,12,IF(B11=N32,16,IF(B11=N33,23,IF(B11=N34,24,IF(B11=N35,25,0)))))))))))</f>
        <v>0</v>
      </c>
      <c r="E62" s="65">
        <f>IF(B11=N25,"Max de répétitions",IF(B11=N26,"Max de répétitions",IF(B11=N27,"Max de répétitions et minimum 4",IF(B11=N28,"Max de répétitions et minimum 6",IF(B11=N29,"Max de répétitions et minimum 9",IF(B11=N30,"Max de répétitions et minimum 12",IF(B11=N31,"Max de répétitions et minimum 16",IF(B11=N32,"Max de répétitions et minimum 20",IF(B11=N33,"Max de répétitions et minimum 25",IF(B11=N34,"Max de répétitions et minimum 29",IF(B11=N35,"Max de répétitions et minimum 29",0)))))))))))</f>
        <v>0</v>
      </c>
      <c r="F62" s="66" t="s">
        <v>131</v>
      </c>
      <c r="G62" s="66" t="s">
        <v>131</v>
      </c>
      <c r="H62" s="70"/>
    </row>
    <row r="63" spans="1:8" ht="15" customHeight="1" x14ac:dyDescent="0.25">
      <c r="A63" s="79" t="s">
        <v>148</v>
      </c>
      <c r="B63" s="68">
        <f>IF(B10=N25,"4",IF(B10=N26,"6",IF(B10=N27,"3",IF(B10=N28,"5",IF(B10=N29,7,IF(B10=N30,9,IF(B10=N31,13,IF(B10=N32,17,IF(B10=N33,23,IF(B10=N34,25,IF(B10=N35,25,0)))))))))))</f>
        <v>0</v>
      </c>
      <c r="C63" s="68">
        <f>IF(B10=N25,"9",IF(B10=N26,"10",IF(B10=N27,"4",IF(B10=N28,"7",IF(B10=N29,10,IF(B10=N30,13,IF(B10=N31,16,IF(B10=N32,21,IF(B10=N33,26,IF(B10=N34,29,IF(B10=N35,30,0)))))))))))</f>
        <v>0</v>
      </c>
      <c r="D63" s="68">
        <f>IF(B10=N25,"6",IF(B10=N26,"8",IF(B10=N27,"2",IF(B10=N28,"5",IF(B10=N29,6,IF(B10=N30,9,IF(B10=N31,12,IF(B10=N32,16,IF(B10=N33,23,IF(B10=N34,24,IF(B10=N35,25,0)))))))))))</f>
        <v>0</v>
      </c>
      <c r="E63" s="68">
        <f>IF(B10=N25,"6",IF(B10=N26,"8",IF(B10=N27,"Max de répétitions et minimum 4",IF(B10=N28,"Max de répétitions et minimum 6",IF(B10=N29,"Max de répétitions et minimum 9",IF(B10=N30,"Max de répétitions et minimum 12",IF(B10=N31,"Max de répétitions et minimum 16",IF(B10=N32,"Max de répétitions et minimum 20",IF(B10=N33,"Max de répétitions et minimum 25",IF(B10=N34,"Max de répétitions et minimum 29",IF(B10=N35,"Max de répétitions et minimum 29",0)))))))))))</f>
        <v>0</v>
      </c>
      <c r="F63" s="66" t="s">
        <v>127</v>
      </c>
      <c r="G63" s="66" t="s">
        <v>128</v>
      </c>
      <c r="H63" s="69" t="str">
        <f>IF(OR(B10='Niveau 2'!N25,B10='Niveau 2'!N26),"Toutes les répétitions en excentrique : voir vidéo","")</f>
        <v/>
      </c>
    </row>
    <row r="64" spans="1:8" x14ac:dyDescent="0.25">
      <c r="A64" s="79" t="s">
        <v>155</v>
      </c>
      <c r="B64" s="68">
        <f>IF(B9=N25,"4",IF(B9=N26,"6",IF(B9=N27,"3",IF(B9=N28,"5",IF(B9=N29,7,IF(B9=N30,9,IF(B9=N31,13,IF(B9=N32,17,IF(B9=N33,23,IF(B9=N34,25,IF(B9=N35,25,0)))))))))))</f>
        <v>0</v>
      </c>
      <c r="C64" s="68">
        <f>IF(B9=N25,"9",IF(B9=N26,"10",IF(B9=N27,"4",IF(B9=N28,"7",IF(B9=N29,10,IF(B9=N30,13,IF(B9=N31,16,IF(B9=N32,21,IF(B9=N33,26,IF(B9=N34,29,IF(B9=N35,30,0)))))))))))</f>
        <v>0</v>
      </c>
      <c r="D64" s="68">
        <f>IF(B9=N25,"6",IF(B9=N26,"8",IF(B9=N27,"2",IF(B9=N28,"5",IF(B9=N29,6,IF(B9=N30,9,IF(B9=N31,12,IF(B9=N32,16,IF(B9=N33,23,IF(B9=N34,24,IF(B9=N35,25,0)))))))))))</f>
        <v>0</v>
      </c>
      <c r="E64" s="68">
        <f>IF(B9=N25,"6",IF(B9=N26,"8",IF(B9=N27,"Max de répétitions et minimum 4",IF(B9=N28,"Max de répétitions et minimum 6",IF(B9=N29,"Max de répétitions et minimum 9",IF(B9=N30,"Max de répétitions et minimum 12",IF(B9=N31,"Max de répétitions et minimum 16",IF(B9=N32,"Max de répétitions et minimum 20",IF(B9=N33,"Max de répétitions et minimum 25",IF(B9=N34,"Max de répétitions et minimum 29",IF(B9=N35,"Max de répétitions et minimum 29",0)))))))))))</f>
        <v>0</v>
      </c>
      <c r="F64" s="66" t="s">
        <v>128</v>
      </c>
      <c r="G64" s="66" t="s">
        <v>127</v>
      </c>
      <c r="H64" s="98" t="str">
        <f>IF(OR(B9='Niveau 2'!N25,B9='Niveau 2'!N26),"Toutes les répétitions en excentrique","")</f>
        <v/>
      </c>
    </row>
    <row r="65" spans="1:8" x14ac:dyDescent="0.25">
      <c r="A65" s="79" t="s">
        <v>147</v>
      </c>
      <c r="B65" s="68">
        <f>IF(B8=M25,"4",IF(B8=M26,"8",IF(B8=M27,"11",IF(B8=M28,"16",IF(B8=M29,20,IF(B8=M30,13,IF(B8=M31,18,IF(B8=M32,20,IF(B8=M33,20,IF(B8=M34,22,IF(B8=M35,26,IF(B8=M36,28,0))))))))))))</f>
        <v>0</v>
      </c>
      <c r="C65" s="68">
        <f>IF(B8=M25,"5",IF(B8=M26,"10",IF(B8=M27,"13",IF(B8=M28,"21",IF(B8=M29,27,IF(B8=M30,13,IF(B8=M31,20,IF(B8=M32,24,IF(B8=M33,27,IF(B8=M34,30,IF(B8=M35,33,IF(B8=M36,35,0))))))))))))</f>
        <v>0</v>
      </c>
      <c r="D65" s="68">
        <f>IF(B8=M25,"4",IF(B8=M26,"7",IF(B8=M27,"9",IF(B8=M28,"15",IF(B8=M29,18,IF(B8=M30,15,IF(B8=M31,17,IF(B8=M32,20,IF(B8=M33,21,IF(B8=M34,22,IF(B8=M35,23,IF(B8=M36,25,0))))))))))))</f>
        <v>0</v>
      </c>
      <c r="E65" s="65">
        <f>IF(B8=M25,"Max de répétitions et minimum 5",IF(B8=M26,"Max de répétitions et minimum 10",IF(B8=M27,"Max de répétitions et minimum 13",IF(B8=M28,"Max de répétitions et minimum 21",IF(B8=M29,"Max de répétitions et minimum 25",IF(B8=M30,"Max de répétitions et minimum 30",IF(B8=M31,"Max de répétitions et minimum 35",IF(B8=M32,"Max de répétitions et minimum 40",IF(B8=M33,"Max de répétitions et minimum 44",IF(B8=M34,"Max de répétitions et minimum 55",IF(B8=M35,"Max de répétitions et minimum 60",IF(B8=M36,"Max de répétitions et minimum 60",0))))))))))))</f>
        <v>0</v>
      </c>
      <c r="F65" s="66" t="s">
        <v>127</v>
      </c>
      <c r="G65" s="66" t="s">
        <v>127</v>
      </c>
      <c r="H65" s="70"/>
    </row>
    <row r="66" spans="1:8" x14ac:dyDescent="0.25">
      <c r="A66" s="79" t="s">
        <v>157</v>
      </c>
      <c r="B66" s="68">
        <f>IF(B13=N25,"4",IF(B13=N26,"6",IF(B13=N27,"3",IF(B13=N28,"5",IF(B13=N29,7,IF(B13=N30,9,IF(B13=N31,13,IF(B13=N32,17,IF(B13=N33,23,IF(B13=N34,25,IF(B13=N35,25,0)))))))))))</f>
        <v>0</v>
      </c>
      <c r="C66" s="68">
        <f>IF(B13=N25,"4",IF(B13=N26,"5",IF(B13=N27,"4",IF(B13=N28,"7",IF(B13=N29,10,IF(B13=N30,13,IF(B13=N31,16,IF(B13=N32,21,IF(B13=N33,26,IF(B13=N34,29,IF(B13=N35,30,0)))))))))))</f>
        <v>0</v>
      </c>
      <c r="D66" s="68">
        <f>IF(B13=N25,"Max de répétitions",IF(B13=N26,"Max de répétitions",IF(B13=N27,"Max de répétitions et minimum 4",IF(B13=N28,"Max de répétitions et minimum 6",IF(B13=N29,"Max de répétitions et minimum 9",IF(B13=N30,"Max de répétitions et minimum 12",IF(B13=N31,"Max de répétitions et minimum 16",IF(B13=N32,"Max de répétitions et minimum 20",IF(B13=N33,"Max de répétitions et minimum 25",IF(B13=N34,"Max de répétitions et minimum 29",IF(B13=N35,"Max de répétitions et minimum 29",0)))))))))))</f>
        <v>0</v>
      </c>
      <c r="E66" s="89"/>
      <c r="F66" s="66" t="s">
        <v>131</v>
      </c>
      <c r="G66" s="66" t="s">
        <v>131</v>
      </c>
      <c r="H66" s="70"/>
    </row>
    <row r="67" spans="1:8" ht="15.75" thickBot="1" x14ac:dyDescent="0.3">
      <c r="A67" s="79" t="s">
        <v>168</v>
      </c>
      <c r="B67" s="68">
        <f>IF(B12=N25,"4",IF(B12=N26,"6",IF(B12=N27,"3",IF(B12=N28,"5",IF(B12=N29,7,IF(B12=N30,9,IF(B12=N31,13,IF(B12=N32,17,IF(B12=N33,23,IF(B12=N34,25,IF(B12=N35,25,0)))))))))))</f>
        <v>0</v>
      </c>
      <c r="C67" s="68">
        <f>IF(B12=N25,"4",IF(B12=N26,"5",IF(B12=N27,"4",IF(B12=N28,"7",IF(B12=N29,10,IF(B12=N30,13,IF(B12=N31,16,IF(B12=N32,21,IF(B12=N33,26,IF(B12=N34,29,IF(B12=N35,30,0)))))))))))</f>
        <v>0</v>
      </c>
      <c r="D67" s="71">
        <f>IF(B12=N25,"Max de répétitions",IF(B12=N26,"Max de répétitions",IF(B12=N27,"Max de répétitions et minimum 4",IF(B12=N28,"Max de répétitions et minimum 6",IF(B12=N29,"Max de répétitions et minimum 9",IF(B12=N30,"Max de répétitions et minimum 12",IF(B12=N31,"Max de répétitions et minimum 16",IF(B12=N32,"Max de répétitions et minimum 20",IF(B12=N33,"Max de répétitions et minimum 25",IF(B12=N34,"Max de répétitions et minimum 29",IF(B12=N35,"Max de répétitions et minimum 29",0)))))))))))</f>
        <v>0</v>
      </c>
      <c r="E67" s="89"/>
      <c r="F67" s="66" t="s">
        <v>131</v>
      </c>
      <c r="G67" s="89"/>
      <c r="H67" s="70"/>
    </row>
    <row r="68" spans="1:8" x14ac:dyDescent="0.25">
      <c r="A68" s="72" t="s">
        <v>150</v>
      </c>
      <c r="B68" s="216" t="s">
        <v>324</v>
      </c>
      <c r="C68" s="217"/>
      <c r="D68" s="217"/>
      <c r="E68" s="217"/>
      <c r="F68" s="1"/>
      <c r="G68" s="1"/>
      <c r="H68" s="147" t="s">
        <v>325</v>
      </c>
    </row>
    <row r="69" spans="1:8" x14ac:dyDescent="0.25">
      <c r="A69" s="73" t="s">
        <v>2</v>
      </c>
      <c r="B69" s="74" t="s">
        <v>3</v>
      </c>
      <c r="C69" s="74" t="s">
        <v>4</v>
      </c>
      <c r="D69" s="74" t="s">
        <v>5</v>
      </c>
      <c r="E69" s="74" t="s">
        <v>6</v>
      </c>
      <c r="F69" s="74" t="s">
        <v>124</v>
      </c>
      <c r="G69" s="74" t="s">
        <v>125</v>
      </c>
      <c r="H69" s="74" t="s">
        <v>123</v>
      </c>
    </row>
    <row r="70" spans="1:8" x14ac:dyDescent="0.25">
      <c r="A70" s="79" t="s">
        <v>166</v>
      </c>
      <c r="B70" s="71">
        <f>IF(B16=N25,"4",IF(B16=N26,"6",IF(B16=N27,"3",IF(B16=N28,"5",IF(B16=N29,7,IF(B16=N30,9,IF(B16=N31,13,IF(B16=N32,17,IF(B16=N33,23,IF(B16=N34,25,IF(B16=N35,25,0)))))))))))</f>
        <v>0</v>
      </c>
      <c r="C70" s="65">
        <f>IF(B16=N25,"4",IF(B16=N26,"5",IF(B16=N27,"4",IF(B16=N28,"7",IF(B16=N29,10,IF(B16=N30,13,IF(B16=N31,16,IF(B16=N32,21,IF(B16=N33,26,IF(B16=N34,29,IF(B16=N35,30,0)))))))))))</f>
        <v>0</v>
      </c>
      <c r="D70" s="65">
        <f>IF(B16=N25,"3",IF(B16=N26,"4",IF(B16=N27,"2",IF(B16=N28,"5",IF(B16=N29,6,IF(B16=N30,9,IF(B16=N31,12,IF(B16=N32,16,IF(B16=N33,23,IF(B16=N34,24,IF(B16=N35,25,0)))))))))))</f>
        <v>0</v>
      </c>
      <c r="E70" s="71">
        <f>IF(B16=N25,"Max de répétitions",IF(B16=N26,"Max de répétitions",IF(B16=N27,"Max de répétitions et minimum 4",IF(B16=N28,"Max de répétitions et minimum 6",IF(B16=N29,"Max de répétitions et minimum 9",IF(B16=N30,"Max de répétitions et minimum 12",IF(B16=N31,"Max de répétitions et minimum 16",IF(B16=N32,"Max de répétitions et minimum 20",IF(B16=N33,"Max de répétitions et minimum 25",IF(B16=N34,"Max de répétitions et minimum 29",IF(B16=N35,"Max de répétitions et minimum 29",0)))))))))))</f>
        <v>0</v>
      </c>
      <c r="F70" s="66" t="s">
        <v>130</v>
      </c>
      <c r="G70" s="66" t="s">
        <v>127</v>
      </c>
      <c r="H70" s="97"/>
    </row>
    <row r="71" spans="1:8" x14ac:dyDescent="0.25">
      <c r="A71" s="79" t="s">
        <v>302</v>
      </c>
      <c r="B71" s="65">
        <f>IF(B15=O25,"8",IF(B15=O26,"12",IF(B15=O27,"18",IF(B15=O28,"22",IF(B15=O29,28,IF(B15=O30,34,IF(B15=O31,40,IF(B15=O32,46,IF(B15=O33,52,IF(B15=O34,58,IF(B15=O35,50,IF(B15=O36,54,IF(B15=O37,60,IF(B15=O38,64,0))))))))))))))</f>
        <v>0</v>
      </c>
      <c r="C71" s="68">
        <f>IF(B15=O25,"6",IF(B15=O26,"10",IF(B15=O27,"18",IF(B15=O28,"24",IF(B15=O29,26,IF(B15=O30,32,IF(B15=O31,38,IF(B15=O32,46,IF(B15=O33,52,IF(B15=O34,54,IF(B15=O35,50,IF(B15=O36,52,IF(B15=O37,60,IF(B15=O38,64,0))))))))))))))</f>
        <v>0</v>
      </c>
      <c r="D71" s="68">
        <f>IF(B15=O25,"7",IF(B15=O26,"11",IF(B15=O27,"16",IF(B15=O28,"22",IF(B15=O29,26,IF(B15=O30,33,IF(B15=O31,39,IF(B15=O32,45,IF(B15=O33,50,IF(B15=O34,54,IF(B15=O35,42,IF(B15=O36,53,IF(B15=O37,55,IF(B15=O38,64,0))))))))))))))</f>
        <v>0</v>
      </c>
      <c r="E71" s="71">
        <f>IF(B15=O25,"Max de répétitions et minimum 8",IF(B15=O26,"Max de répétitions et minimum 12",IF(B15=O27,"Max de répétitions et minimum 18",IF(B15=O28,"Max de répétitions et minimum 24",IF(B15=O29,"Max de répétitions et minimum 30",IF(B15=O30,"Max de répétitions et minimum 36",IF(B15=O31,"Max de répétitions et minimum 42",IF(B15=O32,"Max de répétitions et minimum 46",IF(B15=O33,"Max de répétitions et minimum 52",IF(B15=O34,"Max de répétitions et minimum 60",IF(B15=O35,"Max de répétitions et minimum 50",IF(B15=O36,"Max de répétitions et minimum 56",IF(B15=O37,"Max de répétitions et minimum 62",IF(B15=O38,"Max de répétitions et minimum 64",0))))))))))))))</f>
        <v>0</v>
      </c>
      <c r="F71" s="66" t="s">
        <v>130</v>
      </c>
      <c r="G71" s="66" t="s">
        <v>169</v>
      </c>
      <c r="H71" s="67" t="s">
        <v>138</v>
      </c>
    </row>
    <row r="72" spans="1:8" x14ac:dyDescent="0.25">
      <c r="A72" s="79" t="s">
        <v>174</v>
      </c>
      <c r="B72" s="71">
        <f>IF(B17=N25,"4",IF(B17=N26,"6",IF(B17=N27,"3",IF(B17=N28,"5",IF(B17=N29,7,IF(B17=N30,9,IF(B17=N31,13,IF(B17=N32,17,IF(B17=N33,23,IF(B17=N34,25,IF(B17=N35,25,0)))))))))))</f>
        <v>0</v>
      </c>
      <c r="C72" s="68">
        <f>IF(B17=N25,"4",IF(B17=N26,"5",IF(B17=N27,"4",IF(B17=N28,"7",IF(B17=N29,10,IF(B17=N30,13,IF(B17=N31,16,IF(B17=N32,21,IF(B17=N33,26,IF(B17=N34,29,IF(B17=N35,30,0)))))))))))</f>
        <v>0</v>
      </c>
      <c r="D72" s="71">
        <f>IF(B17=N25,"3",IF(B17=N26,"4",IF(B17=N27,"2",IF(B17=N28,"5",IF(B17=N29,6,IF(B17=N30,9,IF(B17=N31,12,IF(B17=N32,16,IF(B17=N33,23,IF(B17=N34,24,IF(B17=N35,25,0)))))))))))</f>
        <v>0</v>
      </c>
      <c r="E72" s="71">
        <f>IF(B17=N25,"Max de répétitions",IF(B17=N26,"Max de répétitions",IF(B17=N27,"Max de répétitions et minimum 4",IF(B17=N28,"Max de répétitions et minimum 6",IF(B17=N29,"Max de répétitions et minimum 9",IF(B17=N30,"Max de répétitions et minimum 12",IF(B17=N31,"Max de répétitions et minimum 16",IF(B17=N32,"Max de répétitions et minimum 20",IF(B17=N33,"Max de répétitions et minimum 25",IF(B17=N34,"Max de répétitions et minimum 29",IF(B17=N35,"Max de répétitions et minimum 29",0)))))))))))</f>
        <v>0</v>
      </c>
      <c r="F72" s="66" t="s">
        <v>130</v>
      </c>
      <c r="G72" s="66" t="s">
        <v>131</v>
      </c>
      <c r="H72" s="76" t="s">
        <v>137</v>
      </c>
    </row>
    <row r="73" spans="1:8" x14ac:dyDescent="0.25">
      <c r="A73" s="90" t="s">
        <v>171</v>
      </c>
      <c r="B73" s="68">
        <f>IF(B18=M25,"4",IF(B18=M26,"8",IF(B18=M27,"11",IF(B18=M28,"16",IF(B18=M29,20,IF(B18=M30,13,IF(B18=M31,18,IF(B18=M32,20,IF(B18=M33,20,IF(B18=M34,22,IF(B18=M35,26,IF(B18=M36,28,0))))))))))))</f>
        <v>0</v>
      </c>
      <c r="C73" s="68">
        <f>IF(B18=M25,"5",IF(B18=M26,"10",IF(B18=M27,"13",IF(B18=M28,"21",IF(B18=M29,27,IF(B18=M30,13,IF(B18=M31,20,IF(B18=M32,24,IF(B18=M33,27,IF(B18=M34,30,IF(B18=M35,33,IF(B18=M36,35,0))))))))))))</f>
        <v>0</v>
      </c>
      <c r="D73" s="68">
        <f>IF(B18=M25,"4",IF(B18=M26,"7",IF(B18=M27,"9",IF(B18=M28,"15",IF(B18=M29,18,IF(B18=M30,15,IF(B18=M31,17,IF(B18=M32,20,IF(B18=M33,21,IF(B18=M34,22,IF(B18=M35,23,IF(B18=M36,25,0))))))))))))</f>
        <v>0</v>
      </c>
      <c r="E73" s="65">
        <f>IF(B18=M25,"Max de répétitions et minimum 5",IF(B18=M26,"Max de répétitions et minimum 10",IF(B18=M27,"Max de répétitions et minimum 13",IF(B18=M28,"Max de répétitions et minimum 21",IF(B18=M29,"Max de répétitions et minimum 25",IF(B18=M30,"Max de répétitions et minimum 30",IF(B18=M31,"Max de répétitions et minimum 35",IF(B18=M32,"Max de répétitions et minimum 40",IF(B18=M33,"Max de répétitions et minimum 44",IF(B18=M34,"Max de répétitions et minimum 55",IF(B18=M35,"Max de répétitions et minimum 60",IF(B18=M36,"Max de répétitions et minimum 60",0))))))))))))</f>
        <v>0</v>
      </c>
      <c r="F73" s="66" t="s">
        <v>173</v>
      </c>
      <c r="G73" s="66" t="s">
        <v>131</v>
      </c>
      <c r="H73" s="97"/>
    </row>
    <row r="74" spans="1:8" x14ac:dyDescent="0.25">
      <c r="A74" s="90" t="s">
        <v>161</v>
      </c>
      <c r="B74" s="68">
        <f>IF(B20=N25,"4",IF(B20=N26,"6",IF(B20=N27,"3",IF(B20=N28,"5",IF(B20=N29,7,IF(B20=N30,9,IF(B20=N31,13,IF(B20=N32,17,IF(B20=N33,23,IF(B20=N34,25,IF(B20=N35,25,0)))))))))))</f>
        <v>0</v>
      </c>
      <c r="C74" s="68">
        <f>IF(B20=N25,"4",IF(B20=N26,"5",IF(B20=N27,"4",IF(B20=N28,"7",IF(B20=N29,10,IF(B20=N30,13,IF(B20=N31,16,IF(B20=N32,21,IF(B20=N33,26,IF(B20=N34,29,IF(B20=N35,30,0)))))))))))</f>
        <v>0</v>
      </c>
      <c r="D74" s="68">
        <f>IF(B20=N25,"Max de répétitions",IF(B20=N26,"Max de répétitions",IF(B20=N27,"Max de répétitions et minimum 4",IF(B20=N28,"Max de répétitions et minimum 6",IF(B20=N29,"Max de répétitions et minimum 9",IF(B20=N30,"Max de répétitions et minimum 12",IF(B20=N31,"Max de répétitions et minimum 16",IF(B20=N32,"Max de répétitions et minimum 20",IF(B20=N33,"Max de répétitions et minimum 25",IF(B20=N34,"Max de répétitions et minimum 29",IF(B20=N35,"Max de répétitions et minimum 29",0)))))))))))</f>
        <v>0</v>
      </c>
      <c r="E74" s="89"/>
      <c r="F74" s="66" t="s">
        <v>131</v>
      </c>
      <c r="G74" s="66" t="s">
        <v>131</v>
      </c>
      <c r="H74" s="97"/>
    </row>
    <row r="75" spans="1:8" x14ac:dyDescent="0.25">
      <c r="A75" s="90" t="s">
        <v>327</v>
      </c>
      <c r="B75" s="68">
        <f>IF(B19=N25,"4",IF(B19=N26,"6",IF(B19=N27,"3",IF(B19=N28,"5",IF(B19=N29,7,IF(B19=N30,9,IF(B19=N31,13,IF(B19=N32,17,IF(B19=N33,23,IF(B19=N34,25,IF(B19=N35,25,0)))))))))))</f>
        <v>0</v>
      </c>
      <c r="C75" s="68">
        <f>IF(B19=N25,"4",IF(B19=N26,"5",IF(B19=N27,"4",IF(B19=N28,"7",IF(B19=N29,10,IF(B19=N30,13,IF(B19=N31,16,IF(B19=N32,21,IF(B19=N33,26,IF(B19=N34,29,IF(B19=N35,30,0)))))))))))</f>
        <v>0</v>
      </c>
      <c r="D75" s="68">
        <f>IF(B19=N25,"Max de répétitions",IF(B19=N26,"Max de répétitions",IF(B19=N27,"Max de répétitions et minimum 4",IF(B19=N28,"Max de répétitions et minimum 6",IF(B19=N29,"Max de répétitions et minimum 9",IF(B19=N30,"Max de répétitions et minimum 12",IF(B19=N31,"Max de répétitions et minimum 16",IF(B19=N32,"Max de répétitions et minimum 20",IF(B19=N33,"Max de répétitions et minimum 25",IF(B19=N34,"Max de répétitions et minimum 29",IF(B19=N35,"Max de répétitions et minimum 29",0)))))))))))</f>
        <v>0</v>
      </c>
      <c r="E75" s="89"/>
      <c r="F75" s="66" t="s">
        <v>131</v>
      </c>
      <c r="G75" s="89"/>
      <c r="H75" s="97"/>
    </row>
    <row r="76" spans="1:8" ht="15.75" thickBot="1" x14ac:dyDescent="0.3">
      <c r="A76" s="214" t="s">
        <v>152</v>
      </c>
      <c r="B76" s="215"/>
      <c r="C76" s="215"/>
      <c r="D76" s="215"/>
      <c r="E76" s="215"/>
      <c r="F76" s="215"/>
      <c r="G76" s="215"/>
      <c r="H76" s="215"/>
    </row>
    <row r="77" spans="1:8" x14ac:dyDescent="0.25">
      <c r="A77" s="72" t="s">
        <v>153</v>
      </c>
      <c r="B77" s="208" t="s">
        <v>324</v>
      </c>
      <c r="C77" s="209"/>
      <c r="D77" s="209"/>
      <c r="E77" s="209"/>
      <c r="F77" s="1"/>
      <c r="G77" s="1"/>
      <c r="H77" s="147" t="s">
        <v>325</v>
      </c>
    </row>
    <row r="78" spans="1:8" x14ac:dyDescent="0.25">
      <c r="A78" s="73" t="s">
        <v>2</v>
      </c>
      <c r="B78" s="74" t="s">
        <v>3</v>
      </c>
      <c r="C78" s="74" t="s">
        <v>4</v>
      </c>
      <c r="D78" s="74" t="s">
        <v>5</v>
      </c>
      <c r="E78" s="74" t="s">
        <v>6</v>
      </c>
      <c r="F78" s="74" t="s">
        <v>124</v>
      </c>
      <c r="G78" s="74" t="s">
        <v>125</v>
      </c>
      <c r="H78" s="74" t="s">
        <v>123</v>
      </c>
    </row>
    <row r="79" spans="1:8" x14ac:dyDescent="0.25">
      <c r="A79" s="79" t="s">
        <v>328</v>
      </c>
      <c r="B79" s="71">
        <f>IF(B11=N25,"5",IF(B11=N26,"6",IF(B11=N27,"3",IF(B11=N28,"5",IF(B11=N29,7,IF(B11=N30,10,IF(B11=N31,14,IF(B11=N32,17,IF(B11=N33,24,IF(B11=N34,26,IF(B11=N35,26,0)))))))))))</f>
        <v>0</v>
      </c>
      <c r="C79" s="71">
        <f>IF(B11=N25,"4",IF(B11=N26,"6",IF(B11=N27,"4",IF(B11=N28,"8",IF(B11=N29,10,IF(B11=N30,14,IF(B11=N31,19,IF(B11=N32,22,IF(B11=N33,27,IF(B11=N34,30,IF(B11=N35,31,0)))))))))))</f>
        <v>0</v>
      </c>
      <c r="D79" s="65">
        <f>IF(B11=N25,"4",IF(B11=N26,"4",IF(B11=N27,"3",IF(B11=N28,"5",IF(B11=N29,7,IF(B11=N30,10,IF(B11=N31,13,IF(B11=N32,17,IF(B11=N33,24,IF(B11=N34,25,IF(B11=N35,25,0)))))))))))</f>
        <v>0</v>
      </c>
      <c r="E79" s="65">
        <f>IF(B11=N25,"Max de répétitions",IF(B11=N26,"Max de répétitions",IF(B11=N27,"Max de répétitions et minimum 4",IF(B11=N28,"Max de répétitions et minimum 8",IF(B11=N29,"Max de répétitions et minimum 10",IF(B11=N30,"Max de répétitions et minimum 13",IF(B11=N31,"Max de répétitions et minimum 19",IF(B11=N32,"Max de répétitions et minimum 22",IF(B11=N33,"Max de répétitions et minimum 26",IF(B11=N34,"Max de répétitions et minimum 30",IF(B11=N35,"Max de répétitions et minimum 31",0)))))))))))</f>
        <v>0</v>
      </c>
      <c r="F79" s="66" t="s">
        <v>131</v>
      </c>
      <c r="G79" s="66" t="s">
        <v>131</v>
      </c>
      <c r="H79" s="75"/>
    </row>
    <row r="80" spans="1:8" x14ac:dyDescent="0.25">
      <c r="A80" s="79" t="s">
        <v>148</v>
      </c>
      <c r="B80" s="68">
        <f>IF(B10=N25,"5",IF(B10=N26,"6",IF(B10=N27,"3",IF(B10=N28,"5",IF(B10=N29,7,IF(B10=N30,10,IF(B10=N31,14,IF(B10=N32,17,IF(B10=N33,24,IF(B10=N34,26,IF(B10=N35,26,0)))))))))))</f>
        <v>0</v>
      </c>
      <c r="C80" s="68">
        <f>IF(B10=N25,"8",IF(B10=N26,"11",IF(B10=N27,"4",IF(B10=N28,"8",IF(B10=N29,10,IF(B10=N30,14,IF(B10=N31,19,IF(B10=N32,22,IF(B10=N33,27,IF(B10=N34,30,IF(B10=N35,31,0)))))))))))</f>
        <v>0</v>
      </c>
      <c r="D80" s="71">
        <f>IF(B10=N25,"7",IF(B10=N26,"8",IF(B10=N27,"3",IF(B10=N28,"5",IF(B10=N29,7,IF(B10=N30,10,IF(B10=N31,13,IF(B10=N32,17,IF(B10=N33,24,IF(B10=N34,25,IF(B10=N35,25,0)))))))))))</f>
        <v>0</v>
      </c>
      <c r="E80" s="68">
        <f>IF(B10=N25,"7",IF(B10=N26,"8",IF(B10=N27,"Max de répétitions et minimum 4",IF(B10=N28,"Max de répétitions et minimum 8",IF(B10=N29,"Max de répétitions et minimum 10",IF(B10=N30,"Max de répétitions et minimum 13",IF(B10=N31,"Max de répétitions et minimum 19",IF(B10=N32,"Max de répétitions et minimum 22",IF(B10=N33,"Max de répétitions et minimum 26",IF(B10=N34,"Max de répétitions et minimum 30",IF(B10=N35,"Max de répétitions et minimum 31",0)))))))))))</f>
        <v>0</v>
      </c>
      <c r="F80" s="66" t="s">
        <v>127</v>
      </c>
      <c r="G80" s="66" t="s">
        <v>128</v>
      </c>
      <c r="H80" s="69" t="str">
        <f>IF(OR(B10='Niveau 2'!N25,B10='Niveau 2'!N26),"Toutes les répétitions en excentrique : voir vidéo","")</f>
        <v/>
      </c>
    </row>
    <row r="81" spans="1:8" x14ac:dyDescent="0.25">
      <c r="A81" s="79" t="s">
        <v>155</v>
      </c>
      <c r="B81" s="71">
        <f>IF(B9=N25,"5",IF(B9=N26,"6",IF(B9=N27,"3",IF(B9=N28,"5",IF(B9=N29,7,IF(B9=N30,10,IF(B9=N31,14,IF(B9=N32,17,IF(B9=N33,24,IF(B9=N34,26,IF(B9=N35,26,0)))))))))))</f>
        <v>0</v>
      </c>
      <c r="C81" s="71">
        <f>IF(B9=N25,"8",IF(B9=N26,"11",IF(B9=N27,"4",IF(B9=N28,"8",IF(B9=N29,10,IF(B9=N30,14,IF(B9=N31,19,IF(B9=N32,22,IF(B9=N33,27,IF(B9=N34,30,IF(B9=N35,31,0)))))))))))</f>
        <v>0</v>
      </c>
      <c r="D81" s="68">
        <f>IF(B9=N25,"7",IF(B9=N26,"8",IF(B9=N27,"3",IF(B9=N28,"5",IF(B9=N29,7,IF(B9=N30,10,IF(B9=N31,13,IF(B9=N32,17,IF(B9=N33,24,IF(B9=N34,25,IF(B9=N35,25,0)))))))))))</f>
        <v>0</v>
      </c>
      <c r="E81" s="71">
        <f>IF(B9=N25,"7",IF(B9=N26,"8",IF(B9=N27,"Max de répétitions et minimum 4",IF(B9=N28,"Max de répétitions et minimum 8",IF(B9=N29,"Max de répétitions et minimum 10",IF(B9=N30,"Max de répétitions et minimum 13",IF(B9=N31,"Max de répétitions et minimum 19",IF(B9=N32,"Max de répétitions et minimum 22",IF(B9=N33,"Max de répétitions et minimum 26",IF(B9=N34,"Max de répétitions et minimum 30",IF(B9=N35,"Max de répétitions et minimum 31",0)))))))))))</f>
        <v>0</v>
      </c>
      <c r="F81" s="66" t="s">
        <v>128</v>
      </c>
      <c r="G81" s="66" t="s">
        <v>127</v>
      </c>
      <c r="H81" s="98" t="str">
        <f>IF(OR(B9='Niveau 2'!N25,B9='Niveau 2'!N26),"Toutes les répétitions en excentrique","")</f>
        <v/>
      </c>
    </row>
    <row r="82" spans="1:8" x14ac:dyDescent="0.25">
      <c r="A82" s="79" t="s">
        <v>147</v>
      </c>
      <c r="B82" s="68">
        <f>IF(B8=M25,"5",IF(B8=M26,"9",IF(B8=M27,"12",IF(B8=M28,"18",IF(B8=M29,21,IF(B8=M30, "voir note",IF(B8=M31,"voir note",IF(B8=M32,"voir note",IF(B8=M33,"voir note",IF(B8=M34,"voir note",IF(B8=M35,"voir note",IF(B8=M36,"voir note",0))))))))))))</f>
        <v>0</v>
      </c>
      <c r="C82" s="71">
        <f>IF(B8=M25,"6",IF(B8=M26,"11",IF(B8=M27,"14",IF(B8=M28,"22",IF(B8=M29,25,IF(B8=M30,"voir note",IF(B8=M31,"voir note",IF(B8=M32,"voir note",IF(B8=M33,"voir note",IF(B8=M34,"voir note",IF(B8=M35,"voir note",IF(B8=M36,"voir note",0))))))))))))</f>
        <v>0</v>
      </c>
      <c r="D82" s="71">
        <f>IF(B8=M25,"4",IF(B8=M26,"8",IF(B8=M27,"10",IF(B8=M28,"16",IF(B8=M29,21,IF(B8=M30,"voir note",IF(B8=M31,"voir note",IF(B8=M32,"voir note",IF(B8=M33,"voir note",IF(B8=M34,"voir note",IF(B8=M35,"voir note",IF(B8=M36,"voir note",0))))))))))))</f>
        <v>0</v>
      </c>
      <c r="E82" s="65">
        <f>IF(B8=M25,"Max de répétitions et minimum 6",IF(B8=M26,"Max de répétitions et minimum 11",IF(B8=M27,"Max de répétitions et minimum 15",IF(B8=M28,"Max de répétitions et minimum 21",IF(B8=M29,"Max de répétitions et minimum 27",IF(B8=M30,"voir note",IF(B8=M31,"voir note",IF(B8=M32,"voir note",IF(B8=M33,"voir note",IF(B8=M34,"voir note",IF(B8=M35,"voir note",IF(B8=M36,"voir note",0))))))))))))</f>
        <v>0</v>
      </c>
      <c r="F82" s="66" t="s">
        <v>127</v>
      </c>
      <c r="G82" s="66" t="s">
        <v>127</v>
      </c>
      <c r="H82" s="110" t="str">
        <f>IF(B8&gt;M29,"Refaire le test : 1 x max et mettre à jour l'onglet résultat du test","")</f>
        <v/>
      </c>
    </row>
    <row r="83" spans="1:8" x14ac:dyDescent="0.25">
      <c r="A83" s="79" t="s">
        <v>157</v>
      </c>
      <c r="B83" s="68">
        <f>IF(B13=N25,"5",IF(B13=N26,"6",IF(B13=N27,"3",IF(B13=N28,"5",IF(B13=N29,7,IF(B13=N30,10,IF(B13=N31,14,IF(B13=N32,17,IF(B13=N33,24,IF(B13=N34,26,IF(B13=N35,26,0)))))))))))</f>
        <v>0</v>
      </c>
      <c r="C83" s="71">
        <f>IF(B13=N25,"4",IF(B13=N26,"6",IF(B13=N27,"4",IF(B13=N28,"8",IF(B13=N29,10,IF(B13=N30,14,IF(B13=N31,19,IF(B13=N32,22,IF(B13=N33,27,IF(B13=N34,30,IF(B13=N35,31,0)))))))))))</f>
        <v>0</v>
      </c>
      <c r="D83" s="71">
        <f>IF(B13=N25,"Max de répétitions",IF(B13=N26,"Max de répétitions",IF(B13=N27,"Max de répétitions et minimum 4",IF(B13=N28,"Max de répétitions et minimum 8",IF(B13=N29,"Max de répétitions et minimum 10",IF(B13=N30,"Max de répétitions et minimum 13",IF(B13=N31,"Max de répétitions et minimum 19",IF(B13=N32,"Max de répétitions et minimum 22",IF(B13=N33,"Max de répétitions et minimum 26",IF(B13=N34,"Max de répétitions et minimum 30",IF(B13=N35,"Max de répétitions et minimum 31",0)))))))))))</f>
        <v>0</v>
      </c>
      <c r="E83" s="89"/>
      <c r="F83" s="66" t="s">
        <v>131</v>
      </c>
      <c r="G83" s="66" t="s">
        <v>131</v>
      </c>
      <c r="H83" s="70"/>
    </row>
    <row r="84" spans="1:8" x14ac:dyDescent="0.25">
      <c r="A84" s="79" t="s">
        <v>168</v>
      </c>
      <c r="B84" s="68">
        <f>IF(B12=N25,"5",IF(B12=N26,"6",IF(B12=N27,"3",IF(B12=N28,"5",IF(B12=N29,7,IF(B12=N30,10,IF(B12=N31,14,IF(B12=N32,17,IF(B12=N33,24,IF(B12=N34,26,IF(B12=N35,26,0)))))))))))</f>
        <v>0</v>
      </c>
      <c r="C84" s="71">
        <f>IF(B12=N25,"4",IF(B12=N26,"6",IF(B12=N27,"4",IF(B12=N28,"8",IF(B12=N29,10,IF(B12=N30,14,IF(B12=N31,19,IF(B12=N32,22,IF(B12=N33,27,IF(B12=N34,30,IF(B12=N35,31,0)))))))))))</f>
        <v>0</v>
      </c>
      <c r="D84" s="68">
        <f>IF(B12=N25,"Max de répétitions",IF(B12=N26,"Max de répétitions",IF(B12=N27,"Max de répétitions et minimum 4",IF(B12=N28,"Max de répétitions et minimum 8",IF(B12=N29,"Max de répétitions et minimum 10",IF(B12=N30,"Max de répétitions et minimum 13",IF(B12=N31,"Max de répétitions et minimum 19",IF(B12=N32,"Max de répétitions et minimum 22",IF(B12=N33,"Max de répétitions et minimum 26",IF(B12=N34,"Max de répétitions et minimum 30",IF(B12=N35,"Max de répétitions et minimum 31",0)))))))))))</f>
        <v>0</v>
      </c>
      <c r="E84" s="89"/>
      <c r="F84" s="66" t="s">
        <v>131</v>
      </c>
      <c r="G84" s="89"/>
      <c r="H84" s="70"/>
    </row>
    <row r="85" spans="1:8" x14ac:dyDescent="0.25">
      <c r="A85" s="95" t="s">
        <v>156</v>
      </c>
      <c r="B85" s="216" t="s">
        <v>324</v>
      </c>
      <c r="C85" s="217"/>
      <c r="D85" s="217"/>
      <c r="E85" s="217"/>
      <c r="F85" s="1"/>
      <c r="G85" s="1"/>
      <c r="H85" s="147" t="s">
        <v>325</v>
      </c>
    </row>
    <row r="86" spans="1:8" x14ac:dyDescent="0.25">
      <c r="A86" s="73" t="s">
        <v>2</v>
      </c>
      <c r="B86" s="74" t="s">
        <v>3</v>
      </c>
      <c r="C86" s="74" t="s">
        <v>4</v>
      </c>
      <c r="D86" s="74" t="s">
        <v>5</v>
      </c>
      <c r="E86" s="74" t="s">
        <v>6</v>
      </c>
      <c r="F86" s="74" t="s">
        <v>124</v>
      </c>
      <c r="G86" s="74" t="s">
        <v>125</v>
      </c>
      <c r="H86" s="74" t="s">
        <v>123</v>
      </c>
    </row>
    <row r="87" spans="1:8" x14ac:dyDescent="0.25">
      <c r="A87" s="79" t="s">
        <v>166</v>
      </c>
      <c r="B87" s="71">
        <f>IF(B16=N25,"5",IF(B16=N26,"6",IF(B16=N27,"3",IF(B16=N28,"5",IF(B16=N29,7,IF(B16=N30,10,IF(B16=N31,14,IF(B16=N32,17,IF(B16=N33,24,IF(B16=N34,26,IF(B16=N35,26,0)))))))))))</f>
        <v>0</v>
      </c>
      <c r="C87" s="65">
        <f>IF(B16=N25,"4",IF(B16=N26,"6",IF(B16=N27,"4",IF(B16=N28,"8",IF(B16=N29,10,IF(B16=N30,14,IF(B16=N31,19,IF(B16=N32,22,IF(B16=N33,27,IF(B16=N34,30,IF(B16=N35,31,0)))))))))))</f>
        <v>0</v>
      </c>
      <c r="D87" s="65">
        <f>IF(B16=N25,"4",IF(B16=N26,"4",IF(B16=N27,"3",IF(B16=N28,"5",IF(B16=N29,7,IF(B16=N30,10,IF(B16=N31,13,IF(B16=N32,17,IF(B16=N33,24,IF(B16=N34,25,IF(B16=N35,25,0)))))))))))</f>
        <v>0</v>
      </c>
      <c r="E87" s="71">
        <f>IF(B16=N25,"Max de répétitions",IF(B16=N26,"Max de répétitions",IF(B16=N27,"Max de répétitions et minimum 4",IF(B16=N28,"Max de répétitions et minimum 8",IF(B16=N29,"Max de répétitions et minimum 10",IF(B16=N30,"Max de répétitions et minimum 13",IF(B16=N31,"Max de répétitions et minimum 19",IF(B16=N32,"Max de répétitions et minimum 22",IF(B16=N33,"Max de répétitions et minimum 26",IF(B16=N34,"Max de répétitions et minimum 30",IF(B16=N35,"Max de répétitions et minimum 31",0)))))))))))</f>
        <v>0</v>
      </c>
      <c r="F87" s="66" t="s">
        <v>130</v>
      </c>
      <c r="G87" s="66" t="s">
        <v>127</v>
      </c>
      <c r="H87" s="97"/>
    </row>
    <row r="88" spans="1:8" x14ac:dyDescent="0.25">
      <c r="A88" s="79" t="s">
        <v>302</v>
      </c>
      <c r="B88" s="65">
        <f>IF(B15=O25,"8",IF(B15=O26,"12",IF(B15=O27,"20",IF(B15=O28,"24",IF(B15=O29,28,IF(B15=O30,34,IF(B15=O31,40,IF(B15=O32,46,IF(B15=O33,52,IF(B15=O34,58,IF(B15=O35,52,IF(B15=O36,56,IF(B15=O37,60,IF(B15=O38,64,0))))))))))))))</f>
        <v>0</v>
      </c>
      <c r="C88" s="68">
        <f>IF(B15=O25,"8",IF(B15=O26,"12",IF(B15=O27,"20",IF(B15=O28,"24",IF(B15=O29,28,IF(B15=O30,34,IF(B15=O31,40,IF(B15=O32,46,IF(B15=O33,52,IF(B15=O34,58,IF(B15=O35,52,IF(B15=O36,56,IF(B15=O37,60,IF(B15=O38,64,0))))))))))))))</f>
        <v>0</v>
      </c>
      <c r="D88" s="68">
        <f>IF(B15=O25,"8",IF(B15=O26,"12",IF(B15=O27,"18",IF(B15=O28,"24",IF(B15=O29,28,IF(B15=O30,34,IF(B15=O31,42,IF(B15=O32,46,IF(B15=O33,52,IF(B15=O34,54,IF(B15=O35,44,IF(B15=O36,52,IF(B15=O37,58,IF(B15=O38,64,0))))))))))))))</f>
        <v>0</v>
      </c>
      <c r="E88" s="71">
        <f>IF(B15=O25,"Max de répétitions et minimum 8",IF(B15=O26,"Max de répétitions et minimum 12",IF(B15=O27,"Max de répétitions et minimum 22",IF(B15=O28,"Max de répétitions et minimum 26",IF(B15=O29,"Max de répétitions et minimum 30",IF(B15=O30,"Max de répétitions et minimum 36",IF(B15=O31,"Max de répétitions et minimum 40",IF(B15=O32,"Max de répétitions et minimum 48",IF(B15=O33,"Max de répétitions et minimum 54",IF(B15=O34,"Max de répétitions et minimum 60",IF(B15=O35,"Max de répétitions et minimum 52",IF(B15=O36,"Max de répétitions et minimum 58",IF(B15=O37,"Max de répétitions et minimum 62",IF(B15=O38,"Max de répétitions et minimum 66",0))))))))))))))</f>
        <v>0</v>
      </c>
      <c r="F88" s="66" t="s">
        <v>130</v>
      </c>
      <c r="G88" s="66" t="s">
        <v>169</v>
      </c>
      <c r="H88" s="67" t="s">
        <v>138</v>
      </c>
    </row>
    <row r="89" spans="1:8" x14ac:dyDescent="0.25">
      <c r="A89" s="79" t="s">
        <v>174</v>
      </c>
      <c r="B89" s="71">
        <f>IF(B17=N25,"5",IF(B17=N26,"6",IF(B17=N27,"3",IF(B17=N28,"5",IF(B17=N29,7,IF(B17=N30,10,IF(B17=N31,14,IF(B17=N32,17,IF(B17=N33,24,IF(B17=N34,26,IF(B17=N35,26,0)))))))))))</f>
        <v>0</v>
      </c>
      <c r="C89" s="68">
        <f>IF(B17=N25,"4",IF(B17=N26,"6",IF(B17=N27,"4",IF(B17=N28,"8",IF(B17=N29,10,IF(B17=N30,14,IF(B17=N31,19,IF(B17=N32,22,IF(B17=N33,27,IF(B17=N34,30,IF(B17=N35,31,0)))))))))))</f>
        <v>0</v>
      </c>
      <c r="D89" s="71">
        <f>IF(B17=N25,"4",IF(B17=N26,"6",IF(B17=N27,"4",IF(B17=N28,"8",IF(B17=N29,10,IF(B17=N30,14,IF(B17=N31,19,IF(B17=N32,22,IF(B17=N33,27,IF(B17=N34,30,IF(B17=N35,31,0)))))))))))</f>
        <v>0</v>
      </c>
      <c r="E89" s="71">
        <f>IF(B17=N25,"Max de répétitions",IF(B17=N26,"Max de répétitions",IF(B17=N27,"Max de répétitions et minimum 4",IF(B17=N28,"Max de répétitions et minimum 8",IF(B17=N29,"Max de répétitions et minimum 10",IF(B17=N30,"Max de répétitions et minimum 13",IF(B17=N31,"Max de répétitions et minimum 19",IF(B17=N32,"Max de répétitions et minimum 22",IF(B17=N33,"Max de répétitions et minimum 26",IF(B17=N34,"Max de répétitions et minimum 30",IF(B17=N35,"Max de répétitions et minimum 31",0)))))))))))</f>
        <v>0</v>
      </c>
      <c r="F89" s="66" t="s">
        <v>130</v>
      </c>
      <c r="G89" s="66" t="s">
        <v>131</v>
      </c>
      <c r="H89" s="76" t="s">
        <v>137</v>
      </c>
    </row>
    <row r="90" spans="1:8" x14ac:dyDescent="0.25">
      <c r="A90" s="90" t="s">
        <v>171</v>
      </c>
      <c r="B90" s="68">
        <f>IF(B18=M25,"5",IF(B18=M26,"9",IF(B18=M27,"12",IF(B18=M28,"18",IF(B18=M29,21,IF(B18=M30, "voir note",IF(B18=M31,"voir note",IF(B18=M32,"voir note",IF(B18=M33,"voir note",IF(B18=M34,"voir note",IF(B18=M35,"voir note",IF(B18=M36,"voir note",0))))))))))))</f>
        <v>0</v>
      </c>
      <c r="C90" s="68">
        <f>IF(B18=M25,"6",IF(B18=M26,"11",IF(B18=M27,"14",IF(B18=M28,"22",IF(B18=M29,25,IF(B18=M30,"voir note",IF(B18=M31,"voir note",IF(B18=M32,"voir note",IF(B18=M33,"voir note",IF(B18=M34,"voir note",IF(B18=M35,"voir note",IF(B18=M36,"voir note",0))))))))))))</f>
        <v>0</v>
      </c>
      <c r="D90" s="68">
        <f>IF(B18=M25,"4",IF(B18=M26,"8",IF(B18=M27,"10",IF(B18=M28,"16",IF(B18=M29,21,IF(B18=M30,"voir note",IF(B18=M31,"voir note",IF(B18=M32,"voir note",IF(B18=M33,"voir note",IF(B18=M34,"voir note",IF(B18=M35,"voir note",IF(B18=M36,"voir note",0))))))))))))</f>
        <v>0</v>
      </c>
      <c r="E90" s="65">
        <f>IF(B18=M25,"Max de répétitions et minimum 6",IF(B18=M26,"Max de répétitions et minimum 11",IF(B18=M27,"Max de répétitions et minimum 15",IF(B18=M28,"Max de répétitions et minimum 21",IF(B18=M29,"Max de répétitions et minimum 27",IF(B18=M30,"voir note",IF(B18=M31,"voir note",IF(B18=M32,"voir note",IF(B18=M33,"voir note",IF(B18=M34,"voir note",IF(B18=M35,"voir note",IF(B18=M36,"voir note",0))))))))))))</f>
        <v>0</v>
      </c>
      <c r="F90" s="66" t="s">
        <v>173</v>
      </c>
      <c r="G90" s="66" t="s">
        <v>131</v>
      </c>
      <c r="H90" s="110" t="str">
        <f>IF(B18&gt;M29,"Refaire le test : 1 x max et mettre à jour l'onglet résultat du test","")</f>
        <v/>
      </c>
    </row>
    <row r="91" spans="1:8" x14ac:dyDescent="0.25">
      <c r="A91" s="90" t="s">
        <v>161</v>
      </c>
      <c r="B91" s="68">
        <f>IF(B20=N25,"5",IF(B20=N26,"6",IF(B20=N27,"3",IF(B20=N28,"5",IF(B20=N29,7,IF(B20=N30,10,IF(B20=N31,14,IF(B20=N32,17,IF(B20=N33,24,IF(B20=N34,26,IF(B20=N35,26,0)))))))))))</f>
        <v>0</v>
      </c>
      <c r="C91" s="68">
        <f>IF(B20=N25,"4",IF(B20=N26,"6",IF(B20=N27,"4",IF(B20=N28,"8",IF(B20=N29,10,IF(B20=N30,14,IF(B20=N31,19,IF(B20=N32,22,IF(B20=N33,27,IF(B20=N34,30,IF(B20=N35,31,0)))))))))))</f>
        <v>0</v>
      </c>
      <c r="D91" s="68">
        <f>IF(B20=N25,"Max de répétitions",IF(B20=N26,"Max de répétitions",IF(B20=N27,"Max de répétitions et minimum 4",IF(B20=N28,"Max de répétitions et minimum 8",IF(B20=N29,"Max de répétitions et minimum 10",IF(B20=N30,"Max de répétitions et minimum 13",IF(B20=N31,"Max de répétitions et minimum 19",IF(B20=N32,"Max de répétitions et minimum 22",IF(B20=N33,"Max de répétitions et minimum 26",IF(B20=N34,"Max de répétitions et minimum 30",IF(B20=N35,"Max de répétitions et minimum 31",0)))))))))))</f>
        <v>0</v>
      </c>
      <c r="E91" s="78"/>
      <c r="F91" s="66" t="s">
        <v>131</v>
      </c>
      <c r="G91" s="66" t="s">
        <v>131</v>
      </c>
      <c r="H91" s="97"/>
    </row>
    <row r="92" spans="1:8" x14ac:dyDescent="0.25">
      <c r="A92" s="90" t="s">
        <v>327</v>
      </c>
      <c r="B92" s="68">
        <f>IF(B19=N25,"5",IF(B19=N26,"6",IF(B19=N27,"3",IF(B19=N28,"5",IF(B19=N29,7,IF(B19=N30,10,IF(B19=N31,14,IF(B19=N32,17,IF(B19=N33,24,IF(B19=N34,26,IF(B19=N35,26,0)))))))))))</f>
        <v>0</v>
      </c>
      <c r="C92" s="68">
        <f>IF(B19=N25,"4",IF(B19=N26,"6",IF(B19=N27,"4",IF(B19=N28,"8",IF(B19=N29,10,IF(B19=N30,14,IF(B19=N31,19,IF(B19=N32,22,IF(B19=N33,27,IF(B19=N34,30,IF(B19=N35,31,0)))))))))))</f>
        <v>0</v>
      </c>
      <c r="D92" s="68">
        <f>IF(B19=N25,"Max de répétitions",IF(B19=N26,"Max de répétitions",IF(B19=N27,"Max de répétitions et minimum 4",IF(B19=N28,"Max de répétitions et minimum 8",IF(B19=N29,"Max de répétitions et minimum 10",IF(B19=N30,"Max de répétitions et minimum 13",IF(B19=N31,"Max de répétitions et minimum 19",IF(B19=N32,"Max de répétitions et minimum 22",IF(B19=N33,"Max de répétitions et minimum 26",IF(B19=N34,"Max de répétitions et minimum 30",IF(B19=N35,"Max de répétitions et minimum 31",0)))))))))))</f>
        <v>0</v>
      </c>
      <c r="E92" s="78"/>
      <c r="F92" s="66" t="s">
        <v>131</v>
      </c>
      <c r="G92" s="78"/>
      <c r="H92" s="97"/>
    </row>
    <row r="93" spans="1:8" x14ac:dyDescent="0.25">
      <c r="A93" s="214" t="s">
        <v>139</v>
      </c>
      <c r="B93" s="215"/>
      <c r="C93" s="215"/>
      <c r="D93" s="215"/>
      <c r="E93" s="215"/>
      <c r="F93" s="215"/>
      <c r="G93" s="215"/>
      <c r="H93" s="215"/>
    </row>
    <row r="94" spans="1:8" x14ac:dyDescent="0.25">
      <c r="A94" s="214" t="s">
        <v>140</v>
      </c>
      <c r="B94" s="215"/>
      <c r="C94" s="215"/>
      <c r="D94" s="215"/>
      <c r="E94" s="215"/>
      <c r="F94" s="215"/>
      <c r="G94" s="215"/>
      <c r="H94" s="215"/>
    </row>
    <row r="95" spans="1:8" s="1" customFormat="1" x14ac:dyDescent="0.25">
      <c r="A95" s="77"/>
      <c r="B95" s="77"/>
      <c r="C95" s="77"/>
      <c r="D95" s="77"/>
      <c r="E95" s="77"/>
      <c r="F95" s="77"/>
      <c r="G95" s="77"/>
      <c r="H95" s="77"/>
    </row>
    <row r="96" spans="1:8" ht="15.75" thickBot="1" x14ac:dyDescent="0.3">
      <c r="A96" s="213" t="s">
        <v>167</v>
      </c>
      <c r="B96" s="213"/>
      <c r="C96" s="213"/>
      <c r="D96" s="213"/>
      <c r="E96" s="213"/>
      <c r="F96" s="213"/>
      <c r="G96" s="213"/>
      <c r="H96" s="213"/>
    </row>
    <row r="97" spans="1:8" x14ac:dyDescent="0.25">
      <c r="A97" s="72" t="s">
        <v>151</v>
      </c>
      <c r="B97" s="208" t="s">
        <v>324</v>
      </c>
      <c r="C97" s="209"/>
      <c r="D97" s="209"/>
      <c r="E97" s="209"/>
      <c r="F97" s="1"/>
      <c r="G97" s="1"/>
      <c r="H97" s="147" t="s">
        <v>325</v>
      </c>
    </row>
    <row r="98" spans="1:8" x14ac:dyDescent="0.25">
      <c r="A98" s="73" t="s">
        <v>2</v>
      </c>
      <c r="B98" s="74" t="s">
        <v>3</v>
      </c>
      <c r="C98" s="74" t="s">
        <v>4</v>
      </c>
      <c r="D98" s="74" t="s">
        <v>5</v>
      </c>
      <c r="E98" s="74" t="s">
        <v>6</v>
      </c>
      <c r="F98" s="74" t="s">
        <v>124</v>
      </c>
      <c r="G98" s="74" t="s">
        <v>125</v>
      </c>
      <c r="H98" s="74" t="s">
        <v>123</v>
      </c>
    </row>
    <row r="99" spans="1:8" x14ac:dyDescent="0.25">
      <c r="A99" s="79" t="s">
        <v>148</v>
      </c>
      <c r="B99" s="65">
        <f>IF(B10=N25,"5",IF(B10=N26,"7",IF(B10=N27,"3",IF(B10=N28,"6",IF(B10=N29,8,IF(B10=N30,11,IF(B10=N31,14,IF(B10=N32,18,IF(B10=N33,25,IF(B10=N34,26,IF(B10=N35,26,0)))))))))))</f>
        <v>0</v>
      </c>
      <c r="C99" s="65">
        <f>IF(B10=N25,"10",IF(B10=N26,"12",IF(B10=N27,"4",IF(B10=N28,"9",IF(B10=N29,11,IF(B10=N30,15,IF(B10=N31,20,IF(B10=N32,25,IF(B10=N33,29,IF(B10=N34,31,IF(B10=N35,32,0)))))))))))</f>
        <v>0</v>
      </c>
      <c r="D99" s="65">
        <f>IF(B10=N25,"8",IF(B10=N26,"10",IF(B10=N27,"3",IF(B10=N28,"6",IF(B10=N29,8,IF(B10=N30,11,IF(B10=N31,14,IF(B10=N32,18,IF(B10=N33,25,IF(B10=N34,26,IF(B10=N35,26,0)))))))))))</f>
        <v>0</v>
      </c>
      <c r="E99" s="65">
        <f>IF(B10=N25,"8",IF(B10=N26,"10",IF(B10=N27,"Max de répétitions et minimum 5",IF(B10=N28,"Max de répétitions et minimum 8",IF(B10=N29,"Max de répétitions et minimum 10",IF(B10=N30,"Max de répétitions et minimum 13",IF(B10=N31,"Max de répétitions et minimum 20",IF(B10=N32,"Max de répétitions et minimum 22",IF(B10=N33,"Max de répétitions et minimum 27",IF(B10=N34,"Max de répétitions et minimum 31",IF(B10=N35,"Max de répétitions et minimum 31",0)))))))))))</f>
        <v>0</v>
      </c>
      <c r="F99" s="66" t="s">
        <v>127</v>
      </c>
      <c r="G99" s="66" t="s">
        <v>128</v>
      </c>
      <c r="H99" s="69" t="str">
        <f>IF(OR(B10='Niveau 2'!N25,B10='Niveau 2'!N26),"Toutes les répétitions en excentrique : voir vidéo","")</f>
        <v/>
      </c>
    </row>
    <row r="100" spans="1:8" x14ac:dyDescent="0.25">
      <c r="A100" s="79" t="s">
        <v>155</v>
      </c>
      <c r="B100" s="68">
        <f>IF(B9=N25,"5",IF(B9=N26,"7",IF(B9=N27,"3",IF(B9=N28,"6",IF(B9=N29,8,IF(B9=N30,11,IF(B9=N31,14,IF(B9=N32,18,IF(B9=N33,25,IF(B9=N34,26,IF(B9=N35,26,0)))))))))))</f>
        <v>0</v>
      </c>
      <c r="C100" s="68">
        <f>IF(B9=N25,"10",IF(B9=N26,"12",IF(B9=N27,"4",IF(B9=N28,"9",IF(B9=N29,11,IF(B9=N30,15,IF(B9=N31,20,IF(B9=N32,25,IF(B9=N33,29,IF(B9=N34,31,IF(B9=N35,32,0)))))))))))</f>
        <v>0</v>
      </c>
      <c r="D100" s="68">
        <f>IF(B9=N25,"8",IF(B9=N26,"10",IF(B9=N27,"3",IF(B9=N28,"6",IF(B9=N29,8,IF(B9=N30,11,IF(B9=N31,14,IF(B9=N32,18,IF(B9=N33,25,IF(B9=N34,26,IF(B9=N35,26,0)))))))))))</f>
        <v>0</v>
      </c>
      <c r="E100" s="68">
        <f>IF(B9=N25,"8",IF(B9=N26,"10",IF(B9=N27,"Max de répétitions et minimum 5",IF(B9=N28,"Max de répétitions et minimum 8",IF(B9=N29,"Max de répétitions et minimum 10",IF(B9=N30,"Max de répétitions et minimum 13",IF(B9=N31,"Max de répétitions et minimum 20",IF(B9=N32,"Max de répétitions et minimum 22",IF(B9=N33,"Max de répétitions et minimum 27",IF(B9=N34,"Max de répétitions et minimum 31",IF(B9=N35,"Max de répétitions et minimum 31",0)))))))))))</f>
        <v>0</v>
      </c>
      <c r="F100" s="66" t="s">
        <v>128</v>
      </c>
      <c r="G100" s="66" t="s">
        <v>127</v>
      </c>
      <c r="H100" s="98" t="str">
        <f>IF(OR(B9='Niveau 2'!N25,B9='Niveau 2'!N26),"Toutes les répétitions en excentrique","")</f>
        <v/>
      </c>
    </row>
    <row r="101" spans="1:8" x14ac:dyDescent="0.25">
      <c r="A101" s="79" t="s">
        <v>147</v>
      </c>
      <c r="B101" s="68">
        <f>IF(B8=M25,"5",IF(B8=M26,"10",IF(B8=M27,"13",IF(B8=M28,"20",IF(B8=M29,25,IF(B8=M30,17,IF(B8=M31,22,IF(B8=M32,27,IF(B8=M33,30,IF(B8=M34,30,IF(B8=M35,30,IF(B8=M36,35,0))))))))))))</f>
        <v>0</v>
      </c>
      <c r="C101" s="68">
        <f>IF(B8=M25,"6",IF(B8=M26,"12",IF(B8=M27,"15",IF(B8=M28,"25",IF(B8=M29,29,IF(B8=M30,19,IF(B8=M31,24,IF(B8=M32,29,IF(B8=M33,34,IF(B8=M34,39,IF(B8=M35,44,IF(B8=M36,49,0))))))))))))</f>
        <v>0</v>
      </c>
      <c r="D101" s="68">
        <f>IF(B8=M25,"4",IF(B8=M26,"9",IF(B8=M27,"11",IF(B8=M28,"20",IF(B8=M29,25,IF(B8=M30,15,IF(B8=M31,20,IF(B8=M32,25,IF(B8=M33,30,IF(B8=M34,35,IF(B8=M35,40,IF(B8=M36,45,0))))))))))))</f>
        <v>0</v>
      </c>
      <c r="E101" s="68">
        <f>IF(B8=M25,"Max de répétitions et minimum 7",IF(B8=M26,"Max de répétitions et minimum 13",IF(B8=M27,"Max de répétitions et minimum 17",IF(B8=M28,"Max de répétitions et minimum 23",IF(B8=M29,"Max de répétitions et minimum 30",IF(B8=M30,"Max de répétitions et minimum 20",IF(B8=M31,"Max de répétitions et minimum 25",IF(B8=M32,"Max de répétitions et minimum 35",IF(B8=M33,"Max de répétitions et minimum 40",IF(B8=M34,"Max de répétitions et minimum 42",IF(B8=M35,"Max de répétitions et minimum 55",IF(B8=M36,"Max de répétitions et minimum 55",0))))))))))))</f>
        <v>0</v>
      </c>
      <c r="F101" s="66" t="s">
        <v>127</v>
      </c>
      <c r="G101" s="66" t="s">
        <v>127</v>
      </c>
      <c r="H101" s="70"/>
    </row>
    <row r="102" spans="1:8" x14ac:dyDescent="0.25">
      <c r="A102" s="79" t="s">
        <v>328</v>
      </c>
      <c r="B102" s="68">
        <f>IF(B11=N25,"5",IF(B11=N26,"7",IF(B11=N27,"3",IF(B11=N28,"6",IF(B11=N29,8,IF(B11=N30,11,IF(B11=N31,14,IF(B11=N32,18,IF(B11=N33,25,IF(B11=N34,26,IF(B11=N35,26,0)))))))))))</f>
        <v>0</v>
      </c>
      <c r="C102" s="68">
        <f>IF(B11=N25,"5",IF(B11=N26,"6",IF(B11=N27,"4",IF(B11=N28,"9",IF(B11=N29,11,IF(B11=N30,15,IF(B11=N31,20,IF(B11=N32,25,IF(B11=N33,29,IF(B11=N34,31,IF(B11=N35,32,0)))))))))))</f>
        <v>0</v>
      </c>
      <c r="D102" s="68">
        <f>IF(B11=N25,"4",IF(B11=N26,"5",IF(B11=N27,"3",IF(B11=N28,"6",IF(B11=N29,8,IF(B11=N30,11,IF(B11=N31,14,IF(B11=N32,18,IF(B11=N33,25,IF(B11=N34,26,IF(B11=N35,26,0)))))))))))</f>
        <v>0</v>
      </c>
      <c r="E102" s="65">
        <f>IF(B11=N25,"Max de répétitions",IF(B11=N26,"Max de répétitions",IF(B11=N27,"Max de répétitions et minimum 5",IF(B11=N28,"Max de répétitions et minimum 8",IF(B11=N29,"Max de répétitions et minimum 10",IF(B11=N30,"Max de répétitions et minimum 13",IF(B11=N31,"Max de répétitions et minimum 20",IF(B11=N32,"Max de répétitions et minimum 22",IF(B11=N33,"Max de répétitions et minimum 27",IF(B11=N34,"Max de répétitions et minimum 31",IF(B11=N35,"Max de répétitions et minimum 31",0)))))))))))</f>
        <v>0</v>
      </c>
      <c r="F102" s="66" t="s">
        <v>131</v>
      </c>
      <c r="G102" s="66" t="s">
        <v>131</v>
      </c>
      <c r="H102" s="70"/>
    </row>
    <row r="103" spans="1:8" x14ac:dyDescent="0.25">
      <c r="A103" s="79" t="s">
        <v>168</v>
      </c>
      <c r="B103" s="68">
        <f>IF(B12=N25,"5",IF(B12=N26,"7",IF(B12=N27,"3",IF(B12=N28,"6",IF(B12=N29,8,IF(B12=N30,11,IF(B12=N31,14,IF(B12=N32,18,IF(B12=N33,25,IF(B12=N34,26,IF(B12=N35,26,0)))))))))))</f>
        <v>0</v>
      </c>
      <c r="C103" s="68">
        <f>IF(B12=N25,"5",IF(B12=N26,"6",IF(B12=N27,"4",IF(B12=N28,"9",IF(B12=N29,11,IF(B12=N30,15,IF(B12=N31,20,IF(B12=N32,25,IF(B12=N33,29,IF(B12=N34,31,IF(B12=N35,32,0)))))))))))</f>
        <v>0</v>
      </c>
      <c r="D103" s="68">
        <f>IF(B12=N25,"Max de répétitions",IF(B12=N26,"Max de répétitions",IF(B12=N27,"Max de répétitions et minimum 5",IF(B12=N28,"Max de répétitions et minimum 8",IF(B12=N29,"Max de répétitions et minimum 10",IF(B12=N30,"Max de répétitions et minimum 13",IF(B12=N31,"Max de répétitions et minimum 20",IF(B12=N32,"Max de répétitions et minimum 22",IF(B12=N33,"Max de répétitions et minimum 27",IF(B12=N34,"Max de répétitions et minimum 31",IF(B12=N35,"Max de répétitions et minimum 31",0)))))))))))</f>
        <v>0</v>
      </c>
      <c r="E103" s="89"/>
      <c r="F103" s="66" t="s">
        <v>131</v>
      </c>
      <c r="G103" s="66" t="s">
        <v>131</v>
      </c>
      <c r="H103" s="70"/>
    </row>
    <row r="104" spans="1:8" x14ac:dyDescent="0.25">
      <c r="A104" s="79" t="s">
        <v>157</v>
      </c>
      <c r="B104" s="68">
        <f>IF(B13=N25,"5",IF(B13=N26,"7",IF(B13=N27,"3",IF(B13=N28,"6",IF(B13=N29,8,IF(B13=N30,11,IF(B13=N31,14,IF(B13=N32,18,IF(B13=N33,25,IF(B13=N34,26,IF(B13=N35,26,0)))))))))))</f>
        <v>0</v>
      </c>
      <c r="C104" s="68">
        <f>IF(B13=N25,"5",IF(B13=N26,"6",IF(B13=N27,"4",IF(B13=N28,"9",IF(B13=N29,11,IF(B13=N30,15,IF(B13=N31,20,IF(B13=N32,25,IF(B13=N33,29,IF(B13=N34,31,IF(B13=N35,32,0)))))))))))</f>
        <v>0</v>
      </c>
      <c r="D104" s="71">
        <f>IF(B13=N25,"Max de répétitions",IF(B13=N26,"Max de répétitions",IF(B13=N27,"Max de répétitions et minimum 5",IF(B13=N28,"Max de répétitions et minimum 8",IF(B13=N29,"Max de répétitions et minimum 10",IF(B13=N30,"Max de répétitions et minimum 13",IF(B13=N31,"Max de répétitions et minimum 20",IF(B13=N32,"Max de répétitions et minimum 22",IF(B13=N33,"Max de répétitions et minimum 27",IF(B13=N34,"Max de répétitions et minimum 31",IF(B13=N35,"Max de répétitions et minimum 31",0)))))))))))</f>
        <v>0</v>
      </c>
      <c r="E104" s="89"/>
      <c r="F104" s="66" t="s">
        <v>131</v>
      </c>
      <c r="G104" s="89"/>
      <c r="H104" s="70"/>
    </row>
    <row r="105" spans="1:8" x14ac:dyDescent="0.25">
      <c r="A105" s="95" t="s">
        <v>150</v>
      </c>
      <c r="B105" s="216" t="s">
        <v>324</v>
      </c>
      <c r="C105" s="217"/>
      <c r="D105" s="217"/>
      <c r="E105" s="217"/>
      <c r="F105" s="1"/>
      <c r="G105" s="1"/>
      <c r="H105" s="147" t="s">
        <v>325</v>
      </c>
    </row>
    <row r="106" spans="1:8" x14ac:dyDescent="0.25">
      <c r="A106" s="73" t="s">
        <v>2</v>
      </c>
      <c r="B106" s="74" t="s">
        <v>3</v>
      </c>
      <c r="C106" s="74" t="s">
        <v>4</v>
      </c>
      <c r="D106" s="74" t="s">
        <v>5</v>
      </c>
      <c r="E106" s="74" t="s">
        <v>6</v>
      </c>
      <c r="F106" s="74" t="s">
        <v>124</v>
      </c>
      <c r="G106" s="74" t="s">
        <v>125</v>
      </c>
      <c r="H106" s="74" t="s">
        <v>123</v>
      </c>
    </row>
    <row r="107" spans="1:8" x14ac:dyDescent="0.25">
      <c r="A107" s="79" t="s">
        <v>302</v>
      </c>
      <c r="B107" s="71">
        <f>IF(B15=O25,"8",IF(B15=O26,"12",IF(B15=O27,"22",IF(B15=O28,"24",IF(B15=O29,28,IF(B15=O30,36,IF(B15=O31,40,IF(B15=O32,46,IF(B15=O33,54,IF(B15=O34,58,IF(B15=O35,44,IF(B15=O36,58,IF(B15=O37,60,IF(B15=O38,64,0))))))))))))))</f>
        <v>0</v>
      </c>
      <c r="C107" s="65">
        <f>IF(B15=O25,"8",IF(B15=O26,"12",IF(B15=O27,"22",IF(B15=O28,"24",IF(B15=O29,28,IF(B15=O30,36,IF(B15=O31,40,IF(B15=O32,46,IF(B15=O33,52,IF(B15=O34,58,IF(B15=O35,44,IF(B15=O36,58,IF(B15=O37,60,IF(B15=O38,64,0))))))))))))))</f>
        <v>0</v>
      </c>
      <c r="D107" s="65">
        <f>IF(B15=O25,"6",IF(B15=O26,"14",IF(B15=O27,"18",IF(B15=O28,"24",IF(B15=O29,30,IF(B15=O30,34,IF(B15=O31,42,IF(B15=O32,46,IF(B15=O33,52,IF(B15=O34,56,IF(B15=O35,52,IF(B15=O36,52,IF(B15=O37,58,IF(B15=O38,64,0))))))))))))))</f>
        <v>0</v>
      </c>
      <c r="E107" s="71">
        <f>IF(B15=O25,"Max de répétitions et minimum 10",IF(B15=O26,"Max de répétitions et minimum 16",IF(B15=O27,"Max de répétitions et minimum 22",IF(B15=O28,"Max de répétitions et minimum 26",IF(B15=O29,"Max de répétitions et minimum 30",IF(B15=O30,"Max de répétitions et minimum 36",IF(B15=O31,"Max de répétitions et minimum 40",IF(B15=O32,"Max de répétitions et minimum 48",IF(B15=O33,"Max de répétitions et minimum 56",IF(B15=O34,"Max de répétitions et minimum 60",IF(B15=O35,"Max de répétitions et minimum 54",IF(B15=O36,"Max de répétitions et minimum 58",IF(B15=O37,"Max de répétitions et minimum 62",IF(B15=O38,"Max de répétitions et minimum 66",0))))))))))))))</f>
        <v>0</v>
      </c>
      <c r="F107" s="66" t="s">
        <v>130</v>
      </c>
      <c r="G107" s="66" t="s">
        <v>127</v>
      </c>
      <c r="H107" s="67" t="s">
        <v>138</v>
      </c>
    </row>
    <row r="108" spans="1:8" x14ac:dyDescent="0.25">
      <c r="A108" s="79" t="s">
        <v>166</v>
      </c>
      <c r="B108" s="65">
        <f>IF(B16=N25,"5",IF(B16=N26,"7",IF(B16=N27,"3",IF(B16=N28,"6",IF(B16=N29,8,IF(B16=N30,11,IF(B16=N31,14,IF(B16=N32,18,IF(B16=N33,25,IF(B16=N34,26,IF(B16=N35,26,0)))))))))))</f>
        <v>0</v>
      </c>
      <c r="C108" s="68">
        <f>IF(B16=N25,"5",IF(B16=N26,"6",IF(B16=N27,"4",IF(B16=N28,"9",IF(B16=N29,11,IF(B16=N30,15,IF(B16=N31,20,IF(B16=N32,25,IF(B16=N33,29,IF(B16=N34,31,IF(B16=N35,32,0)))))))))))</f>
        <v>0</v>
      </c>
      <c r="D108" s="68">
        <f>IF(B16=N25,"4",IF(B16=N26,"5",IF(B16=N27,"3",IF(B16=N28,"6",IF(B16=N29,8,IF(B16=N30,11,IF(B16=N31,14,IF(B16=N32,18,IF(B16=N33,25,IF(B16=N34,26,IF(B16=N35,26,0)))))))))))</f>
        <v>0</v>
      </c>
      <c r="E108" s="71">
        <f>IF(B16=N25,"Max de répétitions",IF(B16=N26,"Max de répétitions",IF(B16=N27,"Max de répétitions et minimum 5",IF(B16=N28,"Max de répétitions et minimum 8",IF(B16=N29,"Max de répétitions et minimum 10",IF(B16=N30,"Max de répétitions et minimum 13",IF(B16=N31,"Max de répétitions et minimum 20",IF(B16=N32,"Max de répétitions et minimum 22",IF(B16=N33,"Max de répétitions et minimum 27",IF(B16=N34,"Max de répétitions et minimum 31",IF(B16=N35,"Max de répétitions et minimum 31",0)))))))))))</f>
        <v>0</v>
      </c>
      <c r="F108" s="66" t="s">
        <v>130</v>
      </c>
      <c r="G108" s="66" t="s">
        <v>169</v>
      </c>
      <c r="H108" s="97"/>
    </row>
    <row r="109" spans="1:8" x14ac:dyDescent="0.25">
      <c r="A109" s="79" t="s">
        <v>174</v>
      </c>
      <c r="B109" s="71">
        <f>IF(B17=N25,"5",IF(B17=N26,"7",IF(B17=N27,"3",IF(B17=N28,"6",IF(B17=N29,8,IF(B17=N30,11,IF(B17=N31,14,IF(B17=N32,18,IF(B17=N33,25,IF(B17=N34,26,IF(B17=N35,26,0)))))))))))</f>
        <v>0</v>
      </c>
      <c r="C109" s="68">
        <f>IF(B17=N25,"5",IF(B17=N26,"6",IF(B17=N27,"4",IF(B17=N28,"9",IF(B17=N29,11,IF(B17=N30,15,IF(B17=N31,20,IF(B17=N32,25,IF(B17=N33,29,IF(B17=N34,31,IF(B17=N35,32,0)))))))))))</f>
        <v>0</v>
      </c>
      <c r="D109" s="71">
        <f>IF(B17=N25,"4",IF(B17=N26,"5",IF(B17=N27,"3",IF(B17=N28,"6",IF(B17=N29,8,IF(B17=N30,11,IF(B17=N31,14,IF(B17=N32,18,IF(B17=N33,25,IF(B17=N34,26,IF(B17=N35,26,0)))))))))))</f>
        <v>0</v>
      </c>
      <c r="E109" s="71">
        <f>IF(B17=N25,"Max de répétitions",IF(B17=N26,"Max de répétitions",IF(B17=N27,"Max de répétitions et minimum 5",IF(B17=N28,"Max de répétitions et minimum 8",IF(B17=N29,"Max de répétitions et minimum 10",IF(B17=N30,"Max de répétitions et minimum 13",IF(B17=N31,"Max de répétitions et minimum 20",IF(B17=N32,"Max de répétitions et minimum 22",IF(B17=N33,"Max de répétitions et minimum 27",IF(B17=N34,"Max de répétitions et minimum 31",IF(B17=N35,"Max de répétitions et minimum 31",0)))))))))))</f>
        <v>0</v>
      </c>
      <c r="F109" s="66" t="s">
        <v>130</v>
      </c>
      <c r="G109" s="66" t="s">
        <v>131</v>
      </c>
      <c r="H109" s="76" t="s">
        <v>137</v>
      </c>
    </row>
    <row r="110" spans="1:8" x14ac:dyDescent="0.25">
      <c r="A110" s="90" t="s">
        <v>171</v>
      </c>
      <c r="B110" s="68">
        <f>IF(B18=M25,"5",IF(B18=M26,"10",IF(B18=M27,"13",IF(B18=M28,"20",IF(B18=M29,25,IF(B18=M30,17,IF(B18=M31,22,IF(B18=M32,27,IF(B18=M33,30,IF(B18=M34,30,IF(B18=M35,30,IF(B18=M36,35,0))))))))))))</f>
        <v>0</v>
      </c>
      <c r="C110" s="68">
        <f>IF(B18=M25,"6",IF(B18=M26,"12",IF(B18=M27,"15",IF(B18=M28,"25",IF(B18=M29,29,IF(B18=M30,19,IF(B18=M31,24,IF(B18=M32,29,IF(B18=M33,34,IF(B18=M34,39,IF(B18=M35,44,IF(B18=M36,49,0))))))))))))</f>
        <v>0</v>
      </c>
      <c r="D110" s="68">
        <f>IF(B18=M25,"4",IF(B18=M26,"9",IF(B18=M27,"11",IF(B18=M28,"20",IF(B18=M29,25,IF(B18=M30,15,IF(B18=M31,20,IF(B18=M32,25,IF(B18=M33,30,IF(B18=M34,35,IF(B18=M35,40,IF(B18=M36,45,0))))))))))))</f>
        <v>0</v>
      </c>
      <c r="E110" s="65">
        <f>IF(B18=M25,"Max de répétitions et minimum 7",IF(B18=M26,"Max de répétitions et minimum 13",IF(B18=M27,"Max de répétitions et minimum 17",IF(B18=M28,"Max de répétitions et minimum 23",IF(B18=M29,"Max de répétitions et minimum 30",IF(B18=M30,"Max de répétitions et minimum 20",IF(B18=M31,"Max de répétitions et minimum 25",IF(B18=M32,"Max de répétitions et minimum 35",IF(B18=M33,"Max de répétitions et minimum 40",IF(B18=M34,"Max de répétitions et minimum 42",IF(B18=M35,"Max de répétitions et minimum 55",IF(B18=M36,"Max de répétitions et minimum 55",0))))))))))))</f>
        <v>0</v>
      </c>
      <c r="F110" s="66" t="s">
        <v>173</v>
      </c>
      <c r="G110" s="66" t="s">
        <v>131</v>
      </c>
      <c r="H110" s="97"/>
    </row>
    <row r="111" spans="1:8" x14ac:dyDescent="0.25">
      <c r="A111" s="90" t="s">
        <v>327</v>
      </c>
      <c r="B111" s="68">
        <f>IF(B19=N25,"5",IF(B19=N26,"7",IF(B19=N27,"3",IF(B19=N28,"6",IF(B19=N29,8,IF(B19=N30,11,IF(B19=N31,14,IF(B19=N32,18,IF(B19=N33,25,IF(B19=N34,26,IF(B19=N35,26,0)))))))))))</f>
        <v>0</v>
      </c>
      <c r="C111" s="68">
        <f>IF(B19=N25,"5",IF(B19=N26,"6",IF(B19=N27,"4",IF(B19=N28,"9",IF(B19=N29,11,IF(B19=N30,15,IF(B19=N31,20,IF(B19=N32,25,IF(B19=N33,29,IF(B19=N34,31,IF(B19=N35,32,0)))))))))))</f>
        <v>0</v>
      </c>
      <c r="D111" s="68">
        <f>IF(B19=N25,"Max de répétitions",IF(B19=N26,"Max de répétitions",IF(B19=N27,"Max de répétitions et minimum 5",IF(B19=N28,"Max de répétitions et minimum 8",IF(B19=N29,"Max de répétitions et minimum 10",IF(B19=N30,"Max de répétitions et minimum 13",IF(B19=N31,"Max de répétitions et minimum 20",IF(B19=N32,"Max de répétitions et minimum 22",IF(B19=N33,"Max de répétitions et minimum 27",IF(B19=N34,"Max de répétitions et minimum 31",IF(B19=N35,"Max de répétitions et minimum 31",0)))))))))))</f>
        <v>0</v>
      </c>
      <c r="E111" s="89"/>
      <c r="F111" s="66" t="s">
        <v>131</v>
      </c>
      <c r="G111" s="66" t="s">
        <v>131</v>
      </c>
      <c r="H111" s="97"/>
    </row>
    <row r="112" spans="1:8" x14ac:dyDescent="0.25">
      <c r="A112" s="90" t="s">
        <v>161</v>
      </c>
      <c r="B112" s="68">
        <f>IF(B20=N25,"5",IF(B20=N26,"7",IF(B20=N27,"3",IF(B20=N28,"6",IF(B20=N29,8,IF(B20=N30,11,IF(B20=N31,14,IF(B20=N32,18,IF(B20=N33,25,IF(B20=N34,26,IF(B20=N35,26,0)))))))))))</f>
        <v>0</v>
      </c>
      <c r="C112" s="68">
        <f>IF(B20=N25,"5",IF(B20=N26,"6",IF(B20=N27,"4",IF(B20=N28,"9",IF(B20=N29,11,IF(B20=N30,15,IF(B20=N31,20,IF(B20=N32,25,IF(B20=N33,29,IF(B20=N34,31,IF(B20=N35,32,0)))))))))))</f>
        <v>0</v>
      </c>
      <c r="D112" s="68">
        <f>IF(B20=N25,"Max de répétitions",IF(B20=N26,"Max de répétitions",IF(B20=N27,"Max de répétitions et minimum 5",IF(B20=N28,"Max de répétitions et minimum 8",IF(B20=N29,"Max de répétitions et minimum 10",IF(B20=N30,"Max de répétitions et minimum 13",IF(B20=N31,"Max de répétitions et minimum 20",IF(B20=N32,"Max de répétitions et minimum 22",IF(B20=N33,"Max de répétitions et minimum 27",IF(B20=N34,"Max de répétitions et minimum 31",IF(B20=N35,"Max de répétitions et minimum 31",0)))))))))))</f>
        <v>0</v>
      </c>
      <c r="E112" s="89"/>
      <c r="F112" s="66" t="s">
        <v>131</v>
      </c>
      <c r="G112" s="89"/>
      <c r="H112" s="97"/>
    </row>
    <row r="113" spans="1:8" ht="15.75" thickBot="1" x14ac:dyDescent="0.3">
      <c r="A113" s="214" t="s">
        <v>152</v>
      </c>
      <c r="B113" s="215"/>
      <c r="C113" s="215"/>
      <c r="D113" s="215"/>
      <c r="E113" s="215"/>
      <c r="F113" s="215"/>
      <c r="G113" s="215"/>
      <c r="H113" s="215"/>
    </row>
    <row r="114" spans="1:8" x14ac:dyDescent="0.25">
      <c r="A114" s="72" t="s">
        <v>153</v>
      </c>
      <c r="B114" s="208" t="s">
        <v>324</v>
      </c>
      <c r="C114" s="209"/>
      <c r="D114" s="209"/>
      <c r="E114" s="209"/>
      <c r="F114" s="1"/>
      <c r="G114" s="1"/>
      <c r="H114" s="147" t="s">
        <v>325</v>
      </c>
    </row>
    <row r="115" spans="1:8" x14ac:dyDescent="0.25">
      <c r="A115" s="73" t="s">
        <v>2</v>
      </c>
      <c r="B115" s="74" t="s">
        <v>3</v>
      </c>
      <c r="C115" s="74" t="s">
        <v>4</v>
      </c>
      <c r="D115" s="74" t="s">
        <v>5</v>
      </c>
      <c r="E115" s="74" t="s">
        <v>6</v>
      </c>
      <c r="F115" s="74" t="s">
        <v>124</v>
      </c>
      <c r="G115" s="74" t="s">
        <v>125</v>
      </c>
      <c r="H115" s="74" t="s">
        <v>123</v>
      </c>
    </row>
    <row r="116" spans="1:8" x14ac:dyDescent="0.25">
      <c r="A116" s="79" t="s">
        <v>148</v>
      </c>
      <c r="B116" s="71">
        <f>IF(B10=N25,"6",IF(B10=N26,"8",IF(B10=N27,"4",IF(B10=N28,"6",IF(B10=N29,9,IF(B10=N30,12,IF(B10=N31,15,IF(B10=N32,19,IF(B10=N33,25,IF(B10=N34,26,IF(B10=N35,27,0)))))))))))</f>
        <v>0</v>
      </c>
      <c r="C116" s="71">
        <f>IF(B10=N25,"10",IF(B10=N26,"14",IF(B10=N27,"5",IF(B10=N28,"9",IF(B10=N29,11,IF(B10=N30,15,IF(B10=N31,20,IF(B10=N32,25,IF(B10=N33,29,IF(B10=N34,31,IF(B10=N35,32,0)))))))))))</f>
        <v>0</v>
      </c>
      <c r="D116" s="65">
        <f>IF(B10=N25,"8",IF(B10=N26,"11",IF(B10=N27,"4",IF(B10=N28,"6",IF(B10=N29,9,IF(B10=N30,11,IF(B10=N31,14,IF(B10=N32,18,IF(B10=N33,25,IF(B10=N34,26,IF(B10=N35,26,0)))))))))))</f>
        <v>0</v>
      </c>
      <c r="E116" s="65">
        <f>IF(B10=N25,"9",IF(B10=N26,"11",IF(B10=N27,"Max de répétitions et minimum 6",IF(B10=N28,"Max de répétitions et minimum 10",IF(B10=N29,"Max de répétitions et minimum 11",IF(B10=N30,"Max de répétitions et minimum 13",IF(B10=N31,"Max de répétitions et minimum 24",IF(B10=N32,"Max de répétitions et minimum 24",IF(B10=N33,"Max de répétitions et minimum 28",IF(B10=N34,"Max de répétitions et minimum 31",IF(B10=N35,"Max de répétitions et minimum 32",0)))))))))))</f>
        <v>0</v>
      </c>
      <c r="F116" s="66" t="s">
        <v>127</v>
      </c>
      <c r="G116" s="66" t="s">
        <v>128</v>
      </c>
      <c r="H116" s="69" t="str">
        <f>IF(OR(B10='Niveau 2'!N25,B10='Niveau 2'!N26),"Toutes les répétitions en excentrique : voir vidéo","")</f>
        <v/>
      </c>
    </row>
    <row r="117" spans="1:8" x14ac:dyDescent="0.25">
      <c r="A117" s="79" t="s">
        <v>155</v>
      </c>
      <c r="B117" s="68">
        <f>IF(B9=N25,"6",IF(B9=N26,"8",IF(B9=N27,"4",IF(B9=N28,"6",IF(B9=N29,9,IF(B9=N30,12,IF(B9=N31,15,IF(B9=N32,19,IF(B9=N33,25,IF(B9=N34,26,IF(B9=N35,27,0)))))))))))</f>
        <v>0</v>
      </c>
      <c r="C117" s="68">
        <f>IF(B9=N25,"10",IF(B9=N26,"14",IF(B9=N27,"5",IF(B9=N28,"9",IF(B9=N29,11,IF(B9=N30,15,IF(B9=N31,20,IF(B9=N32,25,IF(B9=N33,29,IF(B9=N34,31,IF(B9=N35,32,0)))))))))))</f>
        <v>0</v>
      </c>
      <c r="D117" s="71">
        <f>IF(B9=N25,"8",IF(B9=N26,"11",IF(B9=N27,"4",IF(B9=N28,"6",IF(B9=N29,9,IF(B9=N30,11,IF(B9=N31,14,IF(B9=N32,18,IF(B9=N33,25,IF(B9=N34,26,IF(B9=N35,26,0)))))))))))</f>
        <v>0</v>
      </c>
      <c r="E117" s="68">
        <f>IF(B9=N25,"9",IF(B9=N26,"11",IF(B9=N27,"Max de répétitions et minimum 6",IF(B9=N28,"Max de répétitions et minimum 10",IF(B9=N29,"Max de répétitions et minimum 11",IF(B9=N30,"Max de répétitions et minimum 13",IF(B9=N31,"Max de répétitions et minimum 24",IF(B9=N32,"Max de répétitions et minimum 24",IF(B9=N33,"Max de répétitions et minimum 28",IF(B9=N34,"Max de répétitions et minimum 31",IF(B9=N35,"Max de répétitions et minimum 32",0)))))))))))</f>
        <v>0</v>
      </c>
      <c r="F117" s="66" t="s">
        <v>128</v>
      </c>
      <c r="G117" s="66" t="s">
        <v>127</v>
      </c>
      <c r="H117" s="98" t="str">
        <f>IF(OR(B9='Niveau 2'!N25,B9='Niveau 2'!N26),"Toutes les répétitions en excentrique","")</f>
        <v/>
      </c>
    </row>
    <row r="118" spans="1:8" x14ac:dyDescent="0.25">
      <c r="A118" s="79" t="s">
        <v>147</v>
      </c>
      <c r="B118" s="71">
        <f>IF(B8=M25,"5",IF(B8=M26,"12",IF(B8=M27,"14",IF(B8=M28,"23",IF(B8=M29,29,IF(B8=M30,10,IF(B8=M31,15,IF(B8=M32,19,IF(B8=M33,19,IF(B8=M34,20,IF(B8=M35,22,IF(B8=M36,22,0))))))))))))</f>
        <v>0</v>
      </c>
      <c r="C118" s="71">
        <f>IF(B8=M25,"7",IF(B8=M26,"13",IF(B8=M27,"16",IF(B8=M28,"28",IF(B8=M29,33,IF(B8=M30,13,IF(B8=M31,18,IF(B8=M32,22,IF(B8=M33,23,IF(B8=M34,23,IF(B8=M35,27,IF(B8=M36,30,0))))))))))))</f>
        <v>0</v>
      </c>
      <c r="D118" s="68">
        <f>IF(B8=M25,"5",IF(B8=M26,"10",IF(B8=M27,"13",IF(B8=M28,"22",IF(B8=M29,29,IF(B8=M30,15,IF(B8=M31,20,IF(B8=M32,24,IF(B8=M33,27,IF(B8=M34,30,IF(B8=M35,33,IF(B8=M36,35,0))))))))))))</f>
        <v>0</v>
      </c>
      <c r="E118" s="71">
        <f>IF(B8=M25,"Max de répétitions et minimum 7",IF(B8=M26,"Max de répétitions et minimum 15",IF(B8=M27,"Max de répétitions et minimum 19",IF(B8=M28,"Max de répétitions et minimum 25",IF(B8=M29,"Max de répétitions et minimum 33",IF(B8=M30,"Max de répétitions et minimum 25",IF(B8=M31,"Max de répétitions et minimum 30",IF(B8=M32,"Max de répétitions et minimum 35",IF(B8=M33,"Max de répétitions et minimum 37",IF(B8=M34,"Max de répétitions et minimum 53",IF(B8=M35,"Max de répétitions et minimum 58",IF(B8=M36,"Max de répétitions et minimum 59",0))))))))))))</f>
        <v>0</v>
      </c>
      <c r="F118" s="66" t="s">
        <v>127</v>
      </c>
      <c r="G118" s="66" t="s">
        <v>127</v>
      </c>
      <c r="H118" s="70"/>
    </row>
    <row r="119" spans="1:8" x14ac:dyDescent="0.25">
      <c r="A119" s="79" t="s">
        <v>328</v>
      </c>
      <c r="B119" s="68">
        <f>IF(B11=N25,"6",IF(B11=N26,"8",IF(B11=N27,"4",IF(B11=N28,"6",IF(B11=N29,9,IF(B11=N30,12,IF(B11=N31,15,IF(B11=N32,19,IF(B11=N33,25,IF(B11=N34,26,IF(B11=N35,27,0)))))))))))</f>
        <v>0</v>
      </c>
      <c r="C119" s="71">
        <f>IF(B11=N25,"5",IF(B11=N26,"7",IF(B11=N27,"5",IF(B11=N28,"9",IF(B11=N29,11,IF(B11=N30,15,IF(B11=N31,20,IF(B11=N32,25,IF(B11=N33,29,IF(B11=N34,31,IF(B11=N35,32,0)))))))))))</f>
        <v>0</v>
      </c>
      <c r="D119" s="71">
        <f>IF(B11=N25,"5",IF(B11=N26,"6",IF(B11=N27,"4",IF(B11=N28,"6",IF(B11=N29,9,IF(B11=N30,11,IF(B11=N31,14,IF(B11=N32,18,IF(B11=N33,25,IF(B11=N34,26,IF(B11=N35,26,0)))))))))))</f>
        <v>0</v>
      </c>
      <c r="E119" s="65">
        <f>IF(B11=N25,"Max de répétitions",IF(B11=N26,"Max de répétitions",IF(B11=N27,"Max de répétitions et minimum 6",IF(B11=N28,"Max de répétitions et minimum 10",IF(B11=N29,"Max de répétitions et minimum 11",IF(B11=N30,"Max de répétitions et minimum 13",IF(B11=N31,"Max de répétitions et minimum 24",IF(B11=N32,"Max de répétitions et minimum 24",IF(B11=N33,"Max de répétitions et minimum 28",IF(B11=N34,"Max de répétitions et minimum 31",IF(B11=N35,"Max de répétitions et minimum 32",0)))))))))))</f>
        <v>0</v>
      </c>
      <c r="F119" s="66" t="s">
        <v>131</v>
      </c>
      <c r="G119" s="66" t="s">
        <v>131</v>
      </c>
      <c r="H119" s="70"/>
    </row>
    <row r="120" spans="1:8" x14ac:dyDescent="0.25">
      <c r="A120" s="79" t="s">
        <v>168</v>
      </c>
      <c r="B120" s="68">
        <f>IF(B12=N25,"6",IF(B12=N26,"8",IF(B12=N27,"4",IF(B12=N28,"6",IF(B12=N29,9,IF(B12=N30,12,IF(B12=N31,15,IF(B12=N32,19,IF(B12=N33,25,IF(B12=N34,26,IF(B12=N35,27,0)))))))))))</f>
        <v>0</v>
      </c>
      <c r="C120" s="71">
        <f>IF(B12=N25,"5",IF(B12=N26,"7",IF(B12=N27,"5",IF(B12=N28,"9",IF(B12=N29,11,IF(B12=N30,15,IF(B12=N31,20,IF(B12=N32,25,IF(B12=N33,29,IF(B12=N34,31,IF(B12=N35,32,0)))))))))))</f>
        <v>0</v>
      </c>
      <c r="D120" s="71">
        <f>IF(B12=N25,"Max de répétitions",IF(B12=N26,"Max de répétitions",IF(B12=N27,"Max de répétitions et minimum 6",IF(B12=N28,"Max de répétitions et minimum 10",IF(B12=N29,"Max de répétitions et minimum 11",IF(B12=N30,"Max de répétitions et minimum 13",IF(B12=N31,"Max de répétitions et minimum 24",IF(B12=N32,"Max de répétitions et minimum 24",IF(B12=N33,"Max de répétitions et minimum 28",IF(B12=N34,"Max de répétitions et minimum 31",IF(B12=N35,"Max de répétitions et minimum 32",0)))))))))))</f>
        <v>0</v>
      </c>
      <c r="E120" s="89"/>
      <c r="F120" s="66" t="s">
        <v>131</v>
      </c>
      <c r="G120" s="66" t="s">
        <v>131</v>
      </c>
      <c r="H120" s="70"/>
    </row>
    <row r="121" spans="1:8" x14ac:dyDescent="0.25">
      <c r="A121" s="79" t="s">
        <v>157</v>
      </c>
      <c r="B121" s="68">
        <f>IF(B13=N25,"6",IF(B13=N26,"8",IF(B13=N27,"4",IF(B13=N28,"6",IF(B13=N29,9,IF(B13=N30,12,IF(B13=N31,15,IF(B13=N32,19,IF(B13=N33,25,IF(B13=N34,26,IF(B13=N35,27,0)))))))))))</f>
        <v>0</v>
      </c>
      <c r="C121" s="71">
        <f>IF(B13=N25,"5",IF(B13=N26,"7",IF(B13=N27,"5",IF(B13=N28,"9",IF(B13=N29,11,IF(B13=N30,15,IF(B13=N31,20,IF(B13=N32,25,IF(B13=N33,29,IF(B13=N34,31,IF(B13=N35,32,0)))))))))))</f>
        <v>0</v>
      </c>
      <c r="D121" s="68">
        <f>IF(B13=N25,"Max de répétitions",IF(B13=N26,"Max de répétitions",IF(B13=N27,"Max de répétitions et minimum 6",IF(B13=N28,"Max de répétitions et minimum 10",IF(B13=N29,"Max de répétitions et minimum 11",IF(B13=N30,"Max de répétitions et minimum 13",IF(B13=N31,"Max de répétitions et minimum 24",IF(B13=N32,"Max de répétitions et minimum 24",IF(B13=N33,"Max de répétitions et minimum 28",IF(B13=N34,"Max de répétitions et minimum 31",IF(B13=N35,"Max de répétitions et minimum 32",0)))))))))))</f>
        <v>0</v>
      </c>
      <c r="E121" s="89"/>
      <c r="F121" s="66" t="s">
        <v>131</v>
      </c>
      <c r="G121" s="89"/>
      <c r="H121" s="70"/>
    </row>
    <row r="122" spans="1:8" x14ac:dyDescent="0.25">
      <c r="A122" s="95" t="s">
        <v>156</v>
      </c>
      <c r="B122" s="216" t="s">
        <v>324</v>
      </c>
      <c r="C122" s="217"/>
      <c r="D122" s="217"/>
      <c r="E122" s="217"/>
      <c r="F122" s="1"/>
      <c r="G122" s="1"/>
      <c r="H122" s="147" t="s">
        <v>325</v>
      </c>
    </row>
    <row r="123" spans="1:8" x14ac:dyDescent="0.25">
      <c r="A123" s="73" t="s">
        <v>2</v>
      </c>
      <c r="B123" s="74" t="s">
        <v>3</v>
      </c>
      <c r="C123" s="74" t="s">
        <v>4</v>
      </c>
      <c r="D123" s="74" t="s">
        <v>5</v>
      </c>
      <c r="E123" s="74" t="s">
        <v>6</v>
      </c>
      <c r="F123" s="74" t="s">
        <v>124</v>
      </c>
      <c r="G123" s="74" t="s">
        <v>125</v>
      </c>
      <c r="H123" s="74" t="s">
        <v>123</v>
      </c>
    </row>
    <row r="124" spans="1:8" x14ac:dyDescent="0.25">
      <c r="A124" s="79" t="s">
        <v>302</v>
      </c>
      <c r="B124" s="71">
        <f>IF(B15=O25,"8",IF(B15=O26,"14",IF(B15=O27,"22",IF(B15=O28,"26",IF(B15=O29,30,IF(B15=O30,36,IF(B15=O31,42,IF(B15=O32,48,IF(B15=O33,52,IF(B15=O34,58,IF(B15=O35,44,IF(B15=O36,58,IF(B15=O37,60,IF(B15=O38,66,0))))))))))))))</f>
        <v>0</v>
      </c>
      <c r="C124" s="65">
        <f>IF(B15=O25,"8",IF(B15=O26,"12",IF(B15=O27,"22",IF(B15=O28,"26",IF(B15=O29,30,IF(B15=O30,36,IF(B15=O31,42,IF(B15=O32,48,IF(B15=O33,52,IF(B15=O34,58,IF(B15=O35,44,IF(B15=O36,58,IF(B15=O37,60,IF(B15=O38,66,0))))))))))))))</f>
        <v>0</v>
      </c>
      <c r="D124" s="65">
        <f>IF(B15=O25,"8",IF(B15=O26,"14",IF(B15=O27,"20",IF(B15=O28,"24",IF(B15=O29,28,IF(B15=O30,36,IF(B15=O31,40,IF(B15=O32,46,IF(B15=O33,54,IF(B15=O34,58,IF(B15=O35,52,IF(B15=O36,52,IF(B15=O37,60,IF(B15=O38,64,0))))))))))))))</f>
        <v>0</v>
      </c>
      <c r="E124" s="71">
        <f>IF(B15=O25,"Max de répétitions et minimum 10",IF(B15=O26,"Max de répétitions et minimum 15",IF(B15=O27,"Max de répétitions et minimum 24",IF(B15=O28,"Max de répétitions et minimum 28",IF(B15=O29,"Max de répétitions et minimum 32",IF(B15=O30,"Max de répétitions et minimum 38",IF(B15=O31,"Max de répétitions et minimum 46",IF(B15=O32,"Max de répétitions et minimum 50",IF(B15=O33,"Max de répétitions et minimum 60",IF(B15=O34,"Max de répétitions et minimum 62",IF(B15=O35,"Max de répétitions et minimum 56",IF(B15=O36,"Max de répétitions et minimum 60",IF(B15=O37,"Max de répétitions et minimum 64",IF(B15=O38,"Max de répétitions et minimum 68",0))))))))))))))</f>
        <v>0</v>
      </c>
      <c r="F124" s="66" t="s">
        <v>130</v>
      </c>
      <c r="G124" s="66" t="s">
        <v>127</v>
      </c>
      <c r="H124" s="67" t="s">
        <v>138</v>
      </c>
    </row>
    <row r="125" spans="1:8" x14ac:dyDescent="0.25">
      <c r="A125" s="79" t="s">
        <v>166</v>
      </c>
      <c r="B125" s="65">
        <f>IF(B16=N25,"6",IF(B16=N26,"8",IF(B16=N27,"4",IF(B16=N28,"6",IF(B16=N29,9,IF(B16=N30,12,IF(B16=N31,15,IF(B16=N32,19,IF(B16=N33,25,IF(B16=N34,26,IF(B16=N35,27,0)))))))))))</f>
        <v>0</v>
      </c>
      <c r="C125" s="68">
        <f>IF(B16=N25,"5",IF(B16=N26,"7",IF(B16=N27,"5",IF(B16=N28,"9",IF(B16=N29,11,IF(B16=N30,15,IF(B16=N31,20,IF(B16=N32,25,IF(B16=N33,29,IF(B16=N34,31,IF(B16=N35,32,0)))))))))))</f>
        <v>0</v>
      </c>
      <c r="D125" s="68">
        <f>IF(B16=N25,"5",IF(B16=N26,"6",IF(B16=N27,"4",IF(B16=N28,"6",IF(B16=N29,9,IF(B16=N30,11,IF(B16=N31,14,IF(B16=N32,18,IF(B16=N33,25,IF(B16=N34,26,IF(B16=N35,26,0)))))))))))</f>
        <v>0</v>
      </c>
      <c r="E125" s="71">
        <f>IF(B16=N25,"Max de répétitions",IF(B16=N26,"Max de répétitions",IF(B16=N27,"Max de répétitions et minimum 6",IF(B16=N28,"Max de répétitions et minimum 10",IF(B16=N29,"Max de répétitions et minimum 11",IF(B16=N30,"Max de répétitions et minimum 13",IF(B16=N31,"Max de répétitions et minimum 24",IF(B16=N32,"Max de répétitions et minimum 24",IF(B16=N33,"Max de répétitions et minimum 28",IF(B16=N34,"Max de répétitions et minimum 31",IF(B16=N35,"Max de répétitions et minimum 32",0)))))))))))</f>
        <v>0</v>
      </c>
      <c r="F125" s="66" t="s">
        <v>130</v>
      </c>
      <c r="G125" s="66" t="s">
        <v>169</v>
      </c>
      <c r="H125" s="97"/>
    </row>
    <row r="126" spans="1:8" x14ac:dyDescent="0.25">
      <c r="A126" s="79" t="s">
        <v>174</v>
      </c>
      <c r="B126" s="71">
        <f>IF(B17=N25,"6",IF(B17=N26,"8",IF(B17=N27,"4",IF(B17=N28,"6",IF(B17=N29,9,IF(B17=N30,12,IF(B17=N31,15,IF(B17=N32,19,IF(B17=N33,25,IF(B17=N34,26,IF(B17=N35,27,0)))))))))))</f>
        <v>0</v>
      </c>
      <c r="C126" s="68">
        <f>IF(B17=N25,"5",IF(B17=N26,"7",IF(B17=N27,"5",IF(B17=N28,"9",IF(B17=N29,11,IF(B17=N30,15,IF(B17=N31,20,IF(B17=N32,25,IF(B17=N33,29,IF(B17=N34,31,IF(B17=N35,32,0)))))))))))</f>
        <v>0</v>
      </c>
      <c r="D126" s="71">
        <f>IF(B17=N25,"5",IF(B17=N26,"6",IF(B17=N27,"4",IF(B17=N28,"6",IF(B17=N29,9,IF(B17=N30,11,IF(B17=N31,14,IF(B17=N32,18,IF(B17=N33,25,IF(B17=N34,26,IF(B17=N35,26,0)))))))))))</f>
        <v>0</v>
      </c>
      <c r="E126" s="71">
        <f>IF(B17=N25,"Max de répétitions",IF(B17=N26,"Max de répétitions",IF(B17=N27,"Max de répétitions et minimum 6",IF(B17=N28,"Max de répétitions et minimum 10",IF(B17=N29,"Max de répétitions et minimum 11",IF(B17=N30,"Max de répétitions et minimum 13",IF(B17=N31,"Max de répétitions et minimum 24",IF(B17=N32,"Max de répétitions et minimum 24",IF(B17=N33,"Max de répétitions et minimum 28",IF(B17=N34,"Max de répétitions et minimum 31",IF(B17=N35,"Max de répétitions et minimum 32",0)))))))))))</f>
        <v>0</v>
      </c>
      <c r="F126" s="66" t="s">
        <v>130</v>
      </c>
      <c r="G126" s="66" t="s">
        <v>131</v>
      </c>
      <c r="H126" s="76" t="s">
        <v>137</v>
      </c>
    </row>
    <row r="127" spans="1:8" x14ac:dyDescent="0.25">
      <c r="A127" s="90" t="s">
        <v>171</v>
      </c>
      <c r="B127" s="68">
        <f>IF(B18=M25,"5",IF(B18=M26,"12",IF(B18=M27,"14",IF(B18=M28,"23",IF(B18=M29,29,IF(B18=M30,10,IF(B18=M31,15,IF(B18=M32,19,IF(B18=M33,19,IF(B18=M34,20,IF(B18=M35,22,IF(B18=M36,22,0))))))))))))</f>
        <v>0</v>
      </c>
      <c r="C127" s="68">
        <f>IF(B18=M25,"7",IF(B18=M26,"13",IF(B18=M27,"16",IF(B18=M28,"28",IF(B18=M29,33,IF(B18=M30,13,IF(B18=M31,18,IF(B18=M32,22,IF(B18=M33,23,IF(B18=M34,23,IF(B18=M35,27,IF(B18=M36,30,0))))))))))))</f>
        <v>0</v>
      </c>
      <c r="D127" s="68">
        <f>IF(B18=M25,"5",IF(B18=M26,"10",IF(B18=M27,"13",IF(B18=M28,"22",IF(B18=M29,29,IF(B18=M30,15,IF(B18=M31,20,IF(B18=M32,24,IF(B18=M33,27,IF(B18=M34,30,IF(B18=M35,33,IF(B18=M36,35,0))))))))))))</f>
        <v>0</v>
      </c>
      <c r="E127" s="65">
        <f>IF(B18=M25,"Max de répétitions et minimum 7",IF(B18=M26,"Max de répétitions et minimum 15",IF(B18=M27,"Max de répétitions et minimum 19",IF(B18=M28,"Max de répétitions et minimum 25",IF(B18=M29,"Max de répétitions et minimum 33",IF(B18=M30,"Max de répétitions et minimum 25",IF(B18=M31,"Max de répétitions et minimum 30",IF(B18=M32,"Max de répétitions et minimum 35",IF(B18=M33,"Max de répétitions et minimum 37",IF(B18=M34,"Max de répétitions et minimum 53",IF(B18=M35,"Max de répétitions et minimum 58",IF(B18=M36,"Max de répétitions et minimum 59",0))))))))))))</f>
        <v>0</v>
      </c>
      <c r="F127" s="66" t="s">
        <v>173</v>
      </c>
      <c r="G127" s="66" t="s">
        <v>131</v>
      </c>
      <c r="H127" s="97"/>
    </row>
    <row r="128" spans="1:8" x14ac:dyDescent="0.25">
      <c r="A128" s="90" t="s">
        <v>327</v>
      </c>
      <c r="B128" s="68">
        <f>IF(B19=N25,"6",IF(B19=N26,"8",IF(B19=N27,"4",IF(B19=N28,"6",IF(B19=N29,9,IF(B19=N30,12,IF(B19=N31,15,IF(B19=N32,19,IF(B19=N33,25,IF(B19=N34,26,IF(B19=N35,27,0)))))))))))</f>
        <v>0</v>
      </c>
      <c r="C128" s="68">
        <f>IF(B19=N25,"5",IF(B19=N26,"7",IF(B19=N27,"5",IF(B19=N28,"9",IF(B19=N29,11,IF(B19=N30,15,IF(B19=N31,20,IF(B19=N32,25,IF(B19=N33,29,IF(B19=N34,31,IF(B19=N35,32,0)))))))))))</f>
        <v>0</v>
      </c>
      <c r="D128" s="68">
        <f>IF(B19=N25,"Max de répétitions",IF(B19=N26,"Max de répétitions",IF(B19=N27,"Max de répétitions et minimum 6",IF(B19=N28,"Max de répétitions et minimum 10",IF(B19=N29,"Max de répétitions et minimum 11",IF(B19=N30,"Max de répétitions et minimum 13",IF(B19=N31,"Max de répétitions et minimum 24",IF(B19=N32,"Max de répétitions et minimum 24",IF(B19=N33,"Max de répétitions et minimum 28",IF(B19=N34,"Max de répétitions et minimum 31",IF(B19=N35,"Max de répétitions et minimum 32",0)))))))))))</f>
        <v>0</v>
      </c>
      <c r="E128" s="78"/>
      <c r="F128" s="66" t="s">
        <v>131</v>
      </c>
      <c r="G128" s="66" t="s">
        <v>131</v>
      </c>
      <c r="H128" s="97"/>
    </row>
    <row r="129" spans="1:8" x14ac:dyDescent="0.25">
      <c r="A129" s="90" t="s">
        <v>161</v>
      </c>
      <c r="B129" s="68">
        <f>IF(B20=N25,"6",IF(B20=N26,"8",IF(B20=N27,"4",IF(B20=N28,"6",IF(B20=N29,9,IF(B20=N30,12,IF(B20=N31,15,IF(B20=N32,19,IF(B20=N33,25,IF(B20=N34,26,IF(B20=N35,27,0)))))))))))</f>
        <v>0</v>
      </c>
      <c r="C129" s="68">
        <f>IF(B20=N25,"5",IF(B20=N26,"7",IF(B20=N27,"5",IF(B20=N28,"9",IF(B20=N29,11,IF(B20=N30,15,IF(B20=N31,20,IF(B20=N32,25,IF(B20=N33,29,IF(B20=N34,31,IF(B20=N35,32,0)))))))))))</f>
        <v>0</v>
      </c>
      <c r="D129" s="68">
        <f>IF(B20=N25,"Max de répétitions",IF(B20=N26,"Max de répétitions",IF(B20=N27,"Max de répétitions et minimum 6",IF(B20=N28,"Max de répétitions et minimum 10",IF(B20=N29,"Max de répétitions et minimum 11",IF(B20=N30,"Max de répétitions et minimum 13",IF(B20=N31,"Max de répétitions et minimum 24",IF(B20=N32,"Max de répétitions et minimum 24",IF(B20=N33,"Max de répétitions et minimum 28",IF(B20=N34,"Max de répétitions et minimum 31",IF(B20=N35,"Max de répétitions et minimum 32",0)))))))))))</f>
        <v>0</v>
      </c>
      <c r="E129" s="78"/>
      <c r="F129" s="66" t="s">
        <v>131</v>
      </c>
      <c r="G129" s="78"/>
      <c r="H129" s="97"/>
    </row>
    <row r="130" spans="1:8" x14ac:dyDescent="0.25">
      <c r="A130" s="214" t="s">
        <v>139</v>
      </c>
      <c r="B130" s="215"/>
      <c r="C130" s="215"/>
      <c r="D130" s="215"/>
      <c r="E130" s="215"/>
      <c r="F130" s="215"/>
      <c r="G130" s="215"/>
      <c r="H130" s="215"/>
    </row>
    <row r="131" spans="1:8" x14ac:dyDescent="0.25">
      <c r="A131" s="214" t="s">
        <v>140</v>
      </c>
      <c r="B131" s="215"/>
      <c r="C131" s="215"/>
      <c r="D131" s="215"/>
      <c r="E131" s="215"/>
      <c r="F131" s="215"/>
      <c r="G131" s="215"/>
      <c r="H131" s="215"/>
    </row>
    <row r="132" spans="1:8" x14ac:dyDescent="0.25">
      <c r="A132" s="212" t="s">
        <v>390</v>
      </c>
      <c r="B132" s="212"/>
      <c r="C132" s="212"/>
      <c r="D132" s="212"/>
      <c r="E132" s="212"/>
      <c r="F132" s="212"/>
      <c r="G132" s="212"/>
      <c r="H132" s="212"/>
    </row>
    <row r="133" spans="1:8" x14ac:dyDescent="0.25">
      <c r="A133" s="212" t="s">
        <v>176</v>
      </c>
      <c r="B133" s="212"/>
      <c r="C133" s="212"/>
      <c r="D133" s="212"/>
      <c r="E133" s="212"/>
      <c r="F133" s="212"/>
      <c r="G133" s="212"/>
      <c r="H133" s="212"/>
    </row>
    <row r="134" spans="1:8" x14ac:dyDescent="0.25">
      <c r="A134" s="212" t="s">
        <v>170</v>
      </c>
      <c r="B134" s="212"/>
      <c r="C134" s="212"/>
      <c r="D134" s="212"/>
      <c r="E134" s="212"/>
      <c r="F134" s="212"/>
      <c r="G134" s="212"/>
      <c r="H134" s="212"/>
    </row>
    <row r="135" spans="1:8" x14ac:dyDescent="0.25">
      <c r="A135" s="212" t="s">
        <v>175</v>
      </c>
      <c r="B135" s="212"/>
      <c r="C135" s="212"/>
      <c r="D135" s="212"/>
      <c r="E135" s="212"/>
      <c r="F135" s="212"/>
      <c r="G135" s="212"/>
      <c r="H135" s="212"/>
    </row>
    <row r="136" spans="1:8" s="1" customFormat="1" x14ac:dyDescent="0.25"/>
    <row r="137" spans="1:8" s="1" customFormat="1" x14ac:dyDescent="0.25"/>
    <row r="138" spans="1:8" s="1" customFormat="1" x14ac:dyDescent="0.25"/>
    <row r="139" spans="1:8" s="1" customFormat="1" x14ac:dyDescent="0.25"/>
    <row r="140" spans="1:8" s="1" customFormat="1" x14ac:dyDescent="0.25"/>
    <row r="141" spans="1:8" s="1" customFormat="1" x14ac:dyDescent="0.25"/>
    <row r="142" spans="1:8" s="1" customFormat="1" x14ac:dyDescent="0.25"/>
    <row r="143" spans="1:8" s="1" customFormat="1" x14ac:dyDescent="0.25"/>
    <row r="144" spans="1:8"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row r="1179" s="1" customFormat="1" x14ac:dyDescent="0.25"/>
    <row r="1180" s="1" customFormat="1" x14ac:dyDescent="0.25"/>
    <row r="1181" s="1" customFormat="1" x14ac:dyDescent="0.25"/>
    <row r="1182" s="1" customFormat="1" x14ac:dyDescent="0.25"/>
    <row r="1183" s="1" customFormat="1" x14ac:dyDescent="0.25"/>
    <row r="1184" s="1" customFormat="1" x14ac:dyDescent="0.25"/>
    <row r="1185" s="1" customFormat="1" x14ac:dyDescent="0.25"/>
    <row r="1186" s="1" customFormat="1" x14ac:dyDescent="0.25"/>
    <row r="1187" s="1" customFormat="1" x14ac:dyDescent="0.25"/>
    <row r="1188" s="1" customFormat="1" x14ac:dyDescent="0.25"/>
    <row r="1189" s="1" customFormat="1" x14ac:dyDescent="0.25"/>
    <row r="1190" s="1" customFormat="1" x14ac:dyDescent="0.25"/>
    <row r="1191" s="1" customFormat="1" x14ac:dyDescent="0.25"/>
    <row r="1192" s="1" customFormat="1" x14ac:dyDescent="0.25"/>
    <row r="1193" s="1" customFormat="1" x14ac:dyDescent="0.25"/>
    <row r="1194" s="1" customFormat="1" x14ac:dyDescent="0.25"/>
    <row r="1195" s="1" customFormat="1" x14ac:dyDescent="0.25"/>
    <row r="1196" s="1" customFormat="1" x14ac:dyDescent="0.25"/>
    <row r="1197" s="1" customFormat="1" x14ac:dyDescent="0.25"/>
    <row r="1198" s="1" customFormat="1" x14ac:dyDescent="0.25"/>
    <row r="1199" s="1" customFormat="1" x14ac:dyDescent="0.25"/>
    <row r="1200" s="1" customFormat="1" x14ac:dyDescent="0.25"/>
    <row r="1201" s="1" customFormat="1" x14ac:dyDescent="0.25"/>
    <row r="1202" s="1" customFormat="1" x14ac:dyDescent="0.25"/>
    <row r="1203" s="1" customFormat="1" x14ac:dyDescent="0.25"/>
    <row r="1204" s="1" customFormat="1" x14ac:dyDescent="0.25"/>
    <row r="1205" s="1" customFormat="1" x14ac:dyDescent="0.25"/>
    <row r="1206" s="1" customFormat="1" x14ac:dyDescent="0.25"/>
    <row r="1207" s="1" customFormat="1" x14ac:dyDescent="0.25"/>
    <row r="1208" s="1" customFormat="1" x14ac:dyDescent="0.25"/>
    <row r="1209" s="1" customFormat="1" x14ac:dyDescent="0.25"/>
    <row r="1210" s="1" customFormat="1" x14ac:dyDescent="0.25"/>
    <row r="1211" s="1" customFormat="1" x14ac:dyDescent="0.25"/>
    <row r="1212" s="1" customFormat="1" x14ac:dyDescent="0.25"/>
    <row r="1213" s="1" customFormat="1" x14ac:dyDescent="0.25"/>
    <row r="1214" s="1" customFormat="1" x14ac:dyDescent="0.25"/>
    <row r="1215" s="1" customFormat="1" x14ac:dyDescent="0.25"/>
    <row r="1216" s="1" customFormat="1" x14ac:dyDescent="0.25"/>
    <row r="1217" s="1" customFormat="1" x14ac:dyDescent="0.25"/>
    <row r="1218" s="1" customFormat="1" x14ac:dyDescent="0.25"/>
    <row r="1219" s="1" customFormat="1" x14ac:dyDescent="0.25"/>
    <row r="1220" s="1" customFormat="1" x14ac:dyDescent="0.25"/>
    <row r="1221" s="1" customFormat="1" x14ac:dyDescent="0.25"/>
    <row r="1222" s="1" customFormat="1" x14ac:dyDescent="0.25"/>
    <row r="1223" s="1" customFormat="1" x14ac:dyDescent="0.25"/>
    <row r="1224" s="1" customFormat="1" x14ac:dyDescent="0.25"/>
    <row r="1225" s="1" customFormat="1" x14ac:dyDescent="0.25"/>
    <row r="1226" s="1" customFormat="1" x14ac:dyDescent="0.25"/>
    <row r="1227" s="1" customFormat="1" x14ac:dyDescent="0.25"/>
    <row r="1228" s="1" customFormat="1" x14ac:dyDescent="0.25"/>
    <row r="1229" s="1" customFormat="1" x14ac:dyDescent="0.25"/>
    <row r="1230" s="1" customFormat="1" x14ac:dyDescent="0.25"/>
    <row r="1231" s="1" customFormat="1" x14ac:dyDescent="0.25"/>
    <row r="1232" s="1" customFormat="1" x14ac:dyDescent="0.25"/>
    <row r="1233" s="1" customFormat="1" x14ac:dyDescent="0.25"/>
    <row r="1234" s="1" customFormat="1" x14ac:dyDescent="0.25"/>
    <row r="1235" s="1" customFormat="1" x14ac:dyDescent="0.25"/>
    <row r="1236" s="1" customFormat="1" x14ac:dyDescent="0.25"/>
    <row r="1237" s="1" customFormat="1" x14ac:dyDescent="0.25"/>
    <row r="1238" s="1" customFormat="1" x14ac:dyDescent="0.25"/>
    <row r="1239" s="1" customFormat="1" x14ac:dyDescent="0.25"/>
    <row r="1240" s="1" customFormat="1" x14ac:dyDescent="0.25"/>
    <row r="1241" s="1" customFormat="1" x14ac:dyDescent="0.25"/>
    <row r="1242" s="1" customFormat="1" x14ac:dyDescent="0.25"/>
    <row r="1243" s="1" customFormat="1" x14ac:dyDescent="0.25"/>
    <row r="1244" s="1" customFormat="1" x14ac:dyDescent="0.25"/>
    <row r="1245" s="1" customFormat="1" x14ac:dyDescent="0.25"/>
    <row r="1246" s="1" customFormat="1" x14ac:dyDescent="0.25"/>
    <row r="1247" s="1" customFormat="1" x14ac:dyDescent="0.25"/>
    <row r="1248" s="1" customFormat="1" x14ac:dyDescent="0.25"/>
    <row r="1249" s="1" customFormat="1" x14ac:dyDescent="0.25"/>
    <row r="1250" s="1" customFormat="1" x14ac:dyDescent="0.25"/>
    <row r="1251" s="1" customFormat="1" x14ac:dyDescent="0.25"/>
    <row r="1252" s="1" customFormat="1" x14ac:dyDescent="0.25"/>
    <row r="1253" s="1" customFormat="1" x14ac:dyDescent="0.25"/>
    <row r="1254" s="1" customFormat="1" x14ac:dyDescent="0.25"/>
    <row r="1255" s="1" customFormat="1" x14ac:dyDescent="0.25"/>
    <row r="1256" s="1" customFormat="1" x14ac:dyDescent="0.25"/>
    <row r="1257" s="1" customFormat="1" x14ac:dyDescent="0.25"/>
    <row r="1258" s="1" customFormat="1" x14ac:dyDescent="0.25"/>
    <row r="1259" s="1" customFormat="1" x14ac:dyDescent="0.25"/>
    <row r="1260" s="1" customFormat="1" x14ac:dyDescent="0.25"/>
    <row r="1261" s="1" customFormat="1" x14ac:dyDescent="0.25"/>
    <row r="1262" s="1" customFormat="1" x14ac:dyDescent="0.25"/>
    <row r="1263" s="1" customFormat="1" x14ac:dyDescent="0.25"/>
    <row r="1264" s="1" customFormat="1" x14ac:dyDescent="0.25"/>
    <row r="1265" s="1" customFormat="1" x14ac:dyDescent="0.25"/>
    <row r="1266" s="1" customFormat="1" x14ac:dyDescent="0.25"/>
    <row r="1267" s="1" customFormat="1" x14ac:dyDescent="0.25"/>
    <row r="1268" s="1" customFormat="1" x14ac:dyDescent="0.25"/>
    <row r="1269" s="1" customFormat="1" x14ac:dyDescent="0.25"/>
    <row r="1270" s="1" customFormat="1" x14ac:dyDescent="0.25"/>
    <row r="1271" s="1" customFormat="1" x14ac:dyDescent="0.25"/>
    <row r="1272" s="1" customFormat="1" x14ac:dyDescent="0.25"/>
    <row r="1273" s="1" customFormat="1" x14ac:dyDescent="0.25"/>
    <row r="1274" s="1" customFormat="1" x14ac:dyDescent="0.25"/>
    <row r="1275" s="1" customFormat="1" x14ac:dyDescent="0.25"/>
    <row r="1276" s="1" customFormat="1" x14ac:dyDescent="0.25"/>
    <row r="1277" s="1" customFormat="1" x14ac:dyDescent="0.25"/>
    <row r="1278" s="1" customFormat="1" x14ac:dyDescent="0.25"/>
    <row r="1279" s="1" customFormat="1" x14ac:dyDescent="0.25"/>
    <row r="1280" s="1" customFormat="1" x14ac:dyDescent="0.25"/>
    <row r="1281" s="1" customFormat="1" x14ac:dyDescent="0.25"/>
    <row r="1282" s="1" customFormat="1" x14ac:dyDescent="0.25"/>
    <row r="1283" s="1" customFormat="1" x14ac:dyDescent="0.25"/>
    <row r="1284" s="1" customFormat="1" x14ac:dyDescent="0.25"/>
    <row r="1285" s="1" customFormat="1" x14ac:dyDescent="0.25"/>
    <row r="1286" s="1" customFormat="1" x14ac:dyDescent="0.25"/>
    <row r="1287" s="1" customFormat="1" x14ac:dyDescent="0.25"/>
    <row r="1288" s="1" customFormat="1" x14ac:dyDescent="0.25"/>
    <row r="1289" s="1" customFormat="1" x14ac:dyDescent="0.25"/>
    <row r="1290" s="1" customFormat="1" x14ac:dyDescent="0.25"/>
    <row r="1291" s="1" customFormat="1" x14ac:dyDescent="0.25"/>
    <row r="1292" s="1" customFormat="1" x14ac:dyDescent="0.25"/>
    <row r="1293" s="1" customFormat="1" x14ac:dyDescent="0.25"/>
    <row r="1294" s="1" customFormat="1" x14ac:dyDescent="0.25"/>
    <row r="1295" s="1" customFormat="1" x14ac:dyDescent="0.25"/>
    <row r="1296" s="1" customFormat="1" x14ac:dyDescent="0.25"/>
    <row r="1297" s="1" customFormat="1" x14ac:dyDescent="0.25"/>
    <row r="1298" s="1" customFormat="1" x14ac:dyDescent="0.25"/>
    <row r="1299" s="1" customFormat="1" x14ac:dyDescent="0.25"/>
    <row r="1300" s="1" customFormat="1" x14ac:dyDescent="0.25"/>
    <row r="1301" s="1" customFormat="1" x14ac:dyDescent="0.25"/>
    <row r="1302" s="1" customFormat="1" x14ac:dyDescent="0.25"/>
    <row r="1303" s="1" customFormat="1" x14ac:dyDescent="0.25"/>
    <row r="1304" s="1" customFormat="1" x14ac:dyDescent="0.25"/>
    <row r="1305" s="1" customFormat="1" x14ac:dyDescent="0.25"/>
    <row r="1306" s="1" customFormat="1" x14ac:dyDescent="0.25"/>
    <row r="1307" s="1" customFormat="1" x14ac:dyDescent="0.25"/>
    <row r="1308" s="1" customFormat="1" x14ac:dyDescent="0.25"/>
    <row r="1309" s="1" customFormat="1" x14ac:dyDescent="0.25"/>
    <row r="1310" s="1" customFormat="1" x14ac:dyDescent="0.25"/>
    <row r="1311" s="1" customFormat="1" x14ac:dyDescent="0.25"/>
    <row r="1312" s="1" customFormat="1" x14ac:dyDescent="0.25"/>
    <row r="1313" s="1" customFormat="1" x14ac:dyDescent="0.25"/>
    <row r="1314" s="1" customFormat="1" x14ac:dyDescent="0.25"/>
    <row r="1315" s="1" customFormat="1" x14ac:dyDescent="0.25"/>
    <row r="1316" s="1" customFormat="1" x14ac:dyDescent="0.25"/>
    <row r="1317" s="1" customFormat="1" x14ac:dyDescent="0.25"/>
    <row r="1318" s="1" customFormat="1" x14ac:dyDescent="0.25"/>
    <row r="1319" s="1" customFormat="1" x14ac:dyDescent="0.25"/>
    <row r="1320" s="1" customFormat="1" x14ac:dyDescent="0.25"/>
    <row r="1321" s="1" customFormat="1" x14ac:dyDescent="0.25"/>
    <row r="1322" s="1" customFormat="1" x14ac:dyDescent="0.25"/>
    <row r="1323" s="1" customFormat="1" x14ac:dyDescent="0.25"/>
    <row r="1324" s="1" customFormat="1" x14ac:dyDescent="0.25"/>
    <row r="1325" s="1" customFormat="1" x14ac:dyDescent="0.25"/>
    <row r="1326" s="1" customFormat="1" x14ac:dyDescent="0.25"/>
    <row r="1327" s="1" customFormat="1" x14ac:dyDescent="0.25"/>
    <row r="1328" s="1" customFormat="1" x14ac:dyDescent="0.25"/>
    <row r="1329" s="1" customFormat="1" x14ac:dyDescent="0.25"/>
    <row r="1330" s="1" customFormat="1" x14ac:dyDescent="0.25"/>
    <row r="1331" s="1" customFormat="1" x14ac:dyDescent="0.25"/>
    <row r="1332" s="1" customFormat="1" x14ac:dyDescent="0.25"/>
    <row r="1333" s="1" customFormat="1" x14ac:dyDescent="0.25"/>
    <row r="1334" s="1" customFormat="1" x14ac:dyDescent="0.25"/>
    <row r="1335" s="1" customFormat="1" x14ac:dyDescent="0.25"/>
    <row r="1336" s="1" customFormat="1" x14ac:dyDescent="0.25"/>
    <row r="1337" s="1" customFormat="1" x14ac:dyDescent="0.25"/>
    <row r="1338" s="1" customFormat="1" x14ac:dyDescent="0.25"/>
    <row r="1339" s="1" customFormat="1" x14ac:dyDescent="0.25"/>
    <row r="1340" s="1" customFormat="1" x14ac:dyDescent="0.25"/>
    <row r="1341" s="1" customFormat="1" x14ac:dyDescent="0.25"/>
    <row r="1342" s="1" customFormat="1" x14ac:dyDescent="0.25"/>
    <row r="1343" s="1" customFormat="1" x14ac:dyDescent="0.25"/>
    <row r="1344" s="1" customFormat="1" x14ac:dyDescent="0.25"/>
    <row r="1345" s="1" customFormat="1" x14ac:dyDescent="0.25"/>
    <row r="1346" s="1" customFormat="1" x14ac:dyDescent="0.25"/>
    <row r="1347" s="1" customFormat="1" x14ac:dyDescent="0.25"/>
    <row r="1348" s="1" customFormat="1" x14ac:dyDescent="0.25"/>
    <row r="1349" s="1" customFormat="1" x14ac:dyDescent="0.25"/>
    <row r="1350" s="1" customFormat="1" x14ac:dyDescent="0.25"/>
    <row r="1351" s="1" customFormat="1" x14ac:dyDescent="0.25"/>
    <row r="1352" s="1" customFormat="1" x14ac:dyDescent="0.25"/>
    <row r="1353" s="1" customFormat="1" x14ac:dyDescent="0.25"/>
    <row r="1354" s="1" customFormat="1" x14ac:dyDescent="0.25"/>
    <row r="1355" s="1" customFormat="1" x14ac:dyDescent="0.25"/>
    <row r="1356" s="1" customFormat="1" x14ac:dyDescent="0.25"/>
    <row r="1357" s="1" customFormat="1" x14ac:dyDescent="0.25"/>
    <row r="1358" s="1" customFormat="1" x14ac:dyDescent="0.25"/>
    <row r="1359" s="1" customFormat="1" x14ac:dyDescent="0.25"/>
    <row r="1360" s="1" customFormat="1" x14ac:dyDescent="0.25"/>
    <row r="1361" s="1" customFormat="1" x14ac:dyDescent="0.25"/>
    <row r="1362" s="1" customFormat="1" x14ac:dyDescent="0.25"/>
    <row r="1363" s="1" customFormat="1" x14ac:dyDescent="0.25"/>
    <row r="1364" s="1" customFormat="1" x14ac:dyDescent="0.25"/>
    <row r="1365" s="1" customFormat="1" x14ac:dyDescent="0.25"/>
    <row r="1366" s="1" customFormat="1" x14ac:dyDescent="0.25"/>
    <row r="1367" s="1" customFormat="1" x14ac:dyDescent="0.25"/>
    <row r="1368" s="1" customFormat="1" x14ac:dyDescent="0.25"/>
    <row r="1369" s="1" customFormat="1" x14ac:dyDescent="0.25"/>
    <row r="1370" s="1" customFormat="1" x14ac:dyDescent="0.25"/>
    <row r="1371" s="1" customFormat="1" x14ac:dyDescent="0.25"/>
    <row r="1372" s="1" customFormat="1" x14ac:dyDescent="0.25"/>
    <row r="1373" s="1" customFormat="1" x14ac:dyDescent="0.25"/>
    <row r="1374" s="1" customFormat="1" x14ac:dyDescent="0.25"/>
    <row r="1375" s="1" customFormat="1" x14ac:dyDescent="0.25"/>
    <row r="1376" s="1" customFormat="1" x14ac:dyDescent="0.25"/>
    <row r="1377" s="1" customFormat="1" x14ac:dyDescent="0.25"/>
    <row r="1378" s="1" customFormat="1" x14ac:dyDescent="0.25"/>
    <row r="1379" s="1" customFormat="1" x14ac:dyDescent="0.25"/>
    <row r="1380" s="1" customFormat="1" x14ac:dyDescent="0.25"/>
    <row r="1381" s="1" customFormat="1" x14ac:dyDescent="0.25"/>
    <row r="1382" s="1" customFormat="1" x14ac:dyDescent="0.25"/>
    <row r="1383" s="1" customFormat="1" x14ac:dyDescent="0.25"/>
    <row r="1384" s="1" customFormat="1" x14ac:dyDescent="0.25"/>
    <row r="1385" s="1" customFormat="1" x14ac:dyDescent="0.25"/>
    <row r="1386" s="1" customFormat="1" x14ac:dyDescent="0.25"/>
    <row r="1387" s="1" customFormat="1" x14ac:dyDescent="0.25"/>
    <row r="1388" s="1" customFormat="1" x14ac:dyDescent="0.25"/>
    <row r="1389" s="1" customFormat="1" x14ac:dyDescent="0.25"/>
    <row r="1390" s="1" customFormat="1" x14ac:dyDescent="0.25"/>
    <row r="1391" s="1" customFormat="1" x14ac:dyDescent="0.25"/>
    <row r="1392" s="1" customFormat="1" x14ac:dyDescent="0.25"/>
    <row r="1393" s="1" customFormat="1" x14ac:dyDescent="0.25"/>
    <row r="1394" s="1" customFormat="1" x14ac:dyDescent="0.25"/>
    <row r="1395" s="1" customFormat="1" x14ac:dyDescent="0.25"/>
    <row r="1396" s="1" customFormat="1" x14ac:dyDescent="0.25"/>
    <row r="1397" s="1" customFormat="1" x14ac:dyDescent="0.25"/>
    <row r="1398" s="1" customFormat="1" x14ac:dyDescent="0.25"/>
    <row r="1399" s="1" customFormat="1" x14ac:dyDescent="0.25"/>
    <row r="1400" s="1" customFormat="1" x14ac:dyDescent="0.25"/>
    <row r="1401" s="1" customFormat="1" x14ac:dyDescent="0.25"/>
    <row r="1402" s="1" customFormat="1" x14ac:dyDescent="0.25"/>
    <row r="1403" s="1" customFormat="1" x14ac:dyDescent="0.25"/>
    <row r="1404" s="1" customFormat="1" x14ac:dyDescent="0.25"/>
    <row r="1405" s="1" customFormat="1" x14ac:dyDescent="0.25"/>
    <row r="1406" s="1" customFormat="1" x14ac:dyDescent="0.25"/>
    <row r="1407" s="1" customFormat="1" x14ac:dyDescent="0.25"/>
    <row r="1408" s="1" customFormat="1" x14ac:dyDescent="0.25"/>
    <row r="1409" s="1" customFormat="1" x14ac:dyDescent="0.25"/>
    <row r="1410" s="1" customFormat="1" x14ac:dyDescent="0.25"/>
    <row r="1411" s="1" customFormat="1" x14ac:dyDescent="0.25"/>
    <row r="1412" s="1" customFormat="1" x14ac:dyDescent="0.25"/>
    <row r="1413" s="1" customFormat="1" x14ac:dyDescent="0.25"/>
    <row r="1414" s="1" customFormat="1" x14ac:dyDescent="0.25"/>
    <row r="1415" s="1" customFormat="1" x14ac:dyDescent="0.25"/>
    <row r="1416" s="1" customFormat="1" x14ac:dyDescent="0.25"/>
    <row r="1417" s="1" customFormat="1" x14ac:dyDescent="0.25"/>
    <row r="1418" s="1" customFormat="1" x14ac:dyDescent="0.25"/>
    <row r="1419" s="1" customFormat="1" x14ac:dyDescent="0.25"/>
    <row r="1420" s="1" customFormat="1" x14ac:dyDescent="0.25"/>
    <row r="1421" s="1" customFormat="1" x14ac:dyDescent="0.25"/>
    <row r="1422" s="1" customFormat="1" x14ac:dyDescent="0.25"/>
    <row r="1423" s="1" customFormat="1" x14ac:dyDescent="0.25"/>
    <row r="1424" s="1" customFormat="1" x14ac:dyDescent="0.25"/>
    <row r="1425" s="1" customFormat="1" x14ac:dyDescent="0.25"/>
    <row r="1426" s="1" customFormat="1" x14ac:dyDescent="0.25"/>
    <row r="1427" s="1" customFormat="1" x14ac:dyDescent="0.25"/>
    <row r="1428" s="1" customFormat="1" x14ac:dyDescent="0.25"/>
    <row r="1429" s="1" customFormat="1" x14ac:dyDescent="0.25"/>
    <row r="1430" s="1" customFormat="1" x14ac:dyDescent="0.25"/>
    <row r="1431" s="1" customFormat="1" x14ac:dyDescent="0.25"/>
    <row r="1432" s="1" customFormat="1" x14ac:dyDescent="0.25"/>
    <row r="1433" s="1" customFormat="1" x14ac:dyDescent="0.25"/>
    <row r="1434" s="1" customFormat="1" x14ac:dyDescent="0.25"/>
    <row r="1435" s="1" customFormat="1" x14ac:dyDescent="0.25"/>
    <row r="1436" s="1" customFormat="1" x14ac:dyDescent="0.25"/>
    <row r="1437" s="1" customFormat="1" x14ac:dyDescent="0.25"/>
    <row r="1438" s="1" customFormat="1" x14ac:dyDescent="0.25"/>
    <row r="1439" s="1" customFormat="1" x14ac:dyDescent="0.25"/>
    <row r="1440" s="1" customFormat="1" x14ac:dyDescent="0.25"/>
    <row r="1441" s="1" customFormat="1" x14ac:dyDescent="0.25"/>
    <row r="1442" s="1" customFormat="1" x14ac:dyDescent="0.25"/>
    <row r="1443" s="1" customFormat="1" x14ac:dyDescent="0.25"/>
    <row r="1444" s="1" customFormat="1" x14ac:dyDescent="0.25"/>
    <row r="1445" s="1" customFormat="1" x14ac:dyDescent="0.25"/>
    <row r="1446" s="1" customFormat="1" x14ac:dyDescent="0.25"/>
    <row r="1447" s="1" customFormat="1" x14ac:dyDescent="0.25"/>
    <row r="1448" s="1" customFormat="1" x14ac:dyDescent="0.25"/>
    <row r="1449" s="1" customFormat="1" x14ac:dyDescent="0.25"/>
    <row r="1450" s="1" customFormat="1" x14ac:dyDescent="0.25"/>
    <row r="1451" s="1" customFormat="1" x14ac:dyDescent="0.25"/>
    <row r="1452" s="1" customFormat="1" x14ac:dyDescent="0.25"/>
    <row r="1453" s="1" customFormat="1" x14ac:dyDescent="0.25"/>
    <row r="1454" s="1" customFormat="1" x14ac:dyDescent="0.25"/>
    <row r="1455" s="1" customFormat="1" x14ac:dyDescent="0.25"/>
    <row r="1456" s="1" customFormat="1" x14ac:dyDescent="0.25"/>
    <row r="1457" s="1" customFormat="1" x14ac:dyDescent="0.25"/>
    <row r="1458" s="1" customFormat="1" x14ac:dyDescent="0.25"/>
    <row r="1459" s="1" customFormat="1" x14ac:dyDescent="0.25"/>
    <row r="1460" s="1" customFormat="1" x14ac:dyDescent="0.25"/>
    <row r="1461" s="1" customFormat="1" x14ac:dyDescent="0.25"/>
    <row r="1462" s="1" customFormat="1" x14ac:dyDescent="0.25"/>
    <row r="1463" s="1" customFormat="1" x14ac:dyDescent="0.25"/>
    <row r="1464" s="1" customFormat="1" x14ac:dyDescent="0.25"/>
    <row r="1465" s="1" customFormat="1" x14ac:dyDescent="0.25"/>
    <row r="1466" s="1" customFormat="1" x14ac:dyDescent="0.25"/>
    <row r="1467" s="1" customFormat="1" x14ac:dyDescent="0.25"/>
    <row r="1468" s="1" customFormat="1" x14ac:dyDescent="0.25"/>
    <row r="1469" s="1" customFormat="1" x14ac:dyDescent="0.25"/>
    <row r="1470" s="1" customFormat="1" x14ac:dyDescent="0.25"/>
    <row r="1471" s="1" customFormat="1" x14ac:dyDescent="0.25"/>
    <row r="1472" s="1" customFormat="1" x14ac:dyDescent="0.25"/>
    <row r="1473" s="1" customFormat="1" x14ac:dyDescent="0.25"/>
    <row r="1474" s="1" customFormat="1" x14ac:dyDescent="0.25"/>
    <row r="1475" s="1" customFormat="1" x14ac:dyDescent="0.25"/>
    <row r="1476" s="1" customFormat="1" x14ac:dyDescent="0.25"/>
    <row r="1477" s="1" customFormat="1" x14ac:dyDescent="0.25"/>
    <row r="1478" s="1" customFormat="1" x14ac:dyDescent="0.25"/>
    <row r="1479" s="1" customFormat="1" x14ac:dyDescent="0.25"/>
    <row r="1480" s="1" customFormat="1" x14ac:dyDescent="0.25"/>
    <row r="1481" s="1" customFormat="1" x14ac:dyDescent="0.25"/>
    <row r="1482" s="1" customFormat="1" x14ac:dyDescent="0.25"/>
    <row r="1483" s="1" customFormat="1" x14ac:dyDescent="0.25"/>
    <row r="1484" s="1" customFormat="1" x14ac:dyDescent="0.25"/>
    <row r="1485" s="1" customFormat="1" x14ac:dyDescent="0.25"/>
    <row r="1486" s="1" customFormat="1" x14ac:dyDescent="0.25"/>
    <row r="1487" s="1" customFormat="1" x14ac:dyDescent="0.25"/>
    <row r="1488" s="1" customFormat="1" x14ac:dyDescent="0.25"/>
    <row r="1489" s="1" customFormat="1" x14ac:dyDescent="0.25"/>
    <row r="1490" s="1" customFormat="1" x14ac:dyDescent="0.25"/>
    <row r="1491" s="1" customFormat="1" x14ac:dyDescent="0.25"/>
    <row r="1492" s="1" customFormat="1" x14ac:dyDescent="0.25"/>
    <row r="1493" s="1" customFormat="1" x14ac:dyDescent="0.25"/>
    <row r="1494" s="1" customFormat="1" x14ac:dyDescent="0.25"/>
    <row r="1495" s="1" customFormat="1" x14ac:dyDescent="0.25"/>
    <row r="1496" s="1" customFormat="1" x14ac:dyDescent="0.25"/>
    <row r="1497" s="1" customFormat="1" x14ac:dyDescent="0.25"/>
    <row r="1498" s="1" customFormat="1" x14ac:dyDescent="0.25"/>
    <row r="1499" s="1" customFormat="1" x14ac:dyDescent="0.25"/>
    <row r="1500" s="1" customFormat="1" x14ac:dyDescent="0.25"/>
    <row r="1501" s="1" customFormat="1" x14ac:dyDescent="0.25"/>
    <row r="1502" s="1" customFormat="1" x14ac:dyDescent="0.25"/>
    <row r="1503" s="1" customFormat="1" x14ac:dyDescent="0.25"/>
    <row r="1504" s="1" customFormat="1" x14ac:dyDescent="0.25"/>
    <row r="1505" s="1" customFormat="1" x14ac:dyDescent="0.25"/>
    <row r="1506" s="1" customFormat="1" x14ac:dyDescent="0.25"/>
    <row r="1507" s="1" customFormat="1" x14ac:dyDescent="0.25"/>
    <row r="1508" s="1" customFormat="1" x14ac:dyDescent="0.25"/>
    <row r="1509" s="1" customFormat="1" x14ac:dyDescent="0.25"/>
    <row r="1510" s="1" customFormat="1" x14ac:dyDescent="0.25"/>
    <row r="1511" s="1" customFormat="1" x14ac:dyDescent="0.25"/>
    <row r="1512" s="1" customFormat="1" x14ac:dyDescent="0.25"/>
    <row r="1513" s="1" customFormat="1" x14ac:dyDescent="0.25"/>
    <row r="1514" s="1" customFormat="1" x14ac:dyDescent="0.25"/>
    <row r="1515" s="1" customFormat="1" x14ac:dyDescent="0.25"/>
    <row r="1516" s="1" customFormat="1" x14ac:dyDescent="0.25"/>
    <row r="1517" s="1" customFormat="1" x14ac:dyDescent="0.25"/>
    <row r="1518" s="1" customFormat="1" x14ac:dyDescent="0.25"/>
    <row r="1519" s="1" customFormat="1" x14ac:dyDescent="0.25"/>
    <row r="1520" s="1" customFormat="1" x14ac:dyDescent="0.25"/>
    <row r="1521" s="1" customFormat="1" x14ac:dyDescent="0.25"/>
    <row r="1522" s="1" customFormat="1" x14ac:dyDescent="0.25"/>
    <row r="1523" s="1" customFormat="1" x14ac:dyDescent="0.25"/>
    <row r="1524" s="1" customFormat="1" x14ac:dyDescent="0.25"/>
    <row r="1525" s="1" customFormat="1" x14ac:dyDescent="0.25"/>
    <row r="1526" s="1" customFormat="1" x14ac:dyDescent="0.25"/>
    <row r="1527" s="1" customFormat="1" x14ac:dyDescent="0.25"/>
    <row r="1528" s="1" customFormat="1" x14ac:dyDescent="0.25"/>
    <row r="1529" s="1" customFormat="1" x14ac:dyDescent="0.25"/>
    <row r="1530" s="1" customFormat="1" x14ac:dyDescent="0.25"/>
    <row r="1531" s="1" customFormat="1" x14ac:dyDescent="0.25"/>
    <row r="1532" s="1" customFormat="1" x14ac:dyDescent="0.25"/>
    <row r="1533" s="1" customFormat="1" x14ac:dyDescent="0.25"/>
    <row r="1534" s="1" customFormat="1" x14ac:dyDescent="0.25"/>
    <row r="1535" s="1" customFormat="1" x14ac:dyDescent="0.25"/>
    <row r="1536" s="1" customFormat="1" x14ac:dyDescent="0.25"/>
    <row r="1537" s="1" customFormat="1" x14ac:dyDescent="0.25"/>
    <row r="1538" s="1" customFormat="1" x14ac:dyDescent="0.25"/>
    <row r="1539" s="1" customFormat="1" x14ac:dyDescent="0.25"/>
    <row r="1540" s="1" customFormat="1" x14ac:dyDescent="0.25"/>
    <row r="1541" s="1" customFormat="1" x14ac:dyDescent="0.25"/>
    <row r="1542" s="1" customFormat="1" x14ac:dyDescent="0.25"/>
    <row r="1543" s="1" customFormat="1" x14ac:dyDescent="0.25"/>
    <row r="1544" s="1" customFormat="1" x14ac:dyDescent="0.25"/>
    <row r="1545" s="1" customFormat="1" x14ac:dyDescent="0.25"/>
    <row r="1546" s="1" customFormat="1" x14ac:dyDescent="0.25"/>
    <row r="1547" s="1" customFormat="1" x14ac:dyDescent="0.25"/>
    <row r="1548" s="1" customFormat="1" x14ac:dyDescent="0.25"/>
    <row r="1549" s="1" customFormat="1" x14ac:dyDescent="0.25"/>
    <row r="1550" s="1" customFormat="1" x14ac:dyDescent="0.25"/>
    <row r="1551" s="1" customFormat="1" x14ac:dyDescent="0.25"/>
    <row r="1552" s="1" customFormat="1" x14ac:dyDescent="0.25"/>
    <row r="1553" s="1" customFormat="1" x14ac:dyDescent="0.25"/>
    <row r="1554" s="1" customFormat="1" x14ac:dyDescent="0.25"/>
    <row r="1555" s="1" customFormat="1" x14ac:dyDescent="0.25"/>
    <row r="1556" s="1" customFormat="1" x14ac:dyDescent="0.25"/>
    <row r="1557" s="1" customFormat="1" x14ac:dyDescent="0.25"/>
    <row r="1558" s="1" customFormat="1" x14ac:dyDescent="0.25"/>
    <row r="1559" s="1" customFormat="1" x14ac:dyDescent="0.25"/>
    <row r="1560" s="1" customFormat="1" x14ac:dyDescent="0.25"/>
    <row r="1561" s="1" customFormat="1" x14ac:dyDescent="0.25"/>
    <row r="1562" s="1" customFormat="1" x14ac:dyDescent="0.25"/>
    <row r="1563" s="1" customFormat="1" x14ac:dyDescent="0.25"/>
    <row r="1564" s="1" customFormat="1" x14ac:dyDescent="0.25"/>
    <row r="1565" s="1" customFormat="1" x14ac:dyDescent="0.25"/>
    <row r="1566" s="1" customFormat="1" x14ac:dyDescent="0.25"/>
    <row r="1567" s="1" customFormat="1" x14ac:dyDescent="0.25"/>
    <row r="1568" s="1" customFormat="1" x14ac:dyDescent="0.25"/>
    <row r="1569" s="1" customFormat="1" x14ac:dyDescent="0.25"/>
    <row r="1570" s="1" customFormat="1" x14ac:dyDescent="0.25"/>
    <row r="1571" s="1" customFormat="1" x14ac:dyDescent="0.25"/>
    <row r="1572" s="1" customFormat="1" x14ac:dyDescent="0.25"/>
    <row r="1573" s="1" customFormat="1" x14ac:dyDescent="0.25"/>
    <row r="1574" s="1" customFormat="1" x14ac:dyDescent="0.25"/>
    <row r="1575" s="1" customFormat="1" x14ac:dyDescent="0.25"/>
    <row r="1576" s="1" customFormat="1" x14ac:dyDescent="0.25"/>
    <row r="1577" s="1" customFormat="1" x14ac:dyDescent="0.25"/>
    <row r="1578" s="1" customFormat="1" x14ac:dyDescent="0.25"/>
    <row r="1579" s="1" customFormat="1" x14ac:dyDescent="0.25"/>
    <row r="1580" s="1" customFormat="1" x14ac:dyDescent="0.25"/>
    <row r="1581" s="1" customFormat="1" x14ac:dyDescent="0.25"/>
    <row r="1582" s="1" customFormat="1" x14ac:dyDescent="0.25"/>
    <row r="1583" s="1" customFormat="1" x14ac:dyDescent="0.25"/>
    <row r="1584" s="1" customFormat="1" x14ac:dyDescent="0.25"/>
    <row r="1585" s="1" customFormat="1" x14ac:dyDescent="0.25"/>
    <row r="1586" s="1" customFormat="1" x14ac:dyDescent="0.25"/>
    <row r="1587" s="1" customFormat="1" x14ac:dyDescent="0.25"/>
    <row r="1588" s="1" customFormat="1" x14ac:dyDescent="0.25"/>
    <row r="1589" s="1" customFormat="1" x14ac:dyDescent="0.25"/>
    <row r="1590" s="1" customFormat="1" x14ac:dyDescent="0.25"/>
    <row r="1591" s="1" customFormat="1" x14ac:dyDescent="0.25"/>
    <row r="1592" s="1" customFormat="1" x14ac:dyDescent="0.25"/>
    <row r="1593" s="1" customFormat="1" x14ac:dyDescent="0.25"/>
    <row r="1594" s="1" customFormat="1" x14ac:dyDescent="0.25"/>
    <row r="1595" s="1" customFormat="1" x14ac:dyDescent="0.25"/>
    <row r="1596" s="1" customFormat="1" x14ac:dyDescent="0.25"/>
    <row r="1597" s="1" customFormat="1" x14ac:dyDescent="0.25"/>
    <row r="1598" s="1" customFormat="1" x14ac:dyDescent="0.25"/>
    <row r="1599" s="1" customFormat="1" x14ac:dyDescent="0.25"/>
    <row r="1600" s="1" customFormat="1" x14ac:dyDescent="0.25"/>
    <row r="1601" s="1" customFormat="1" x14ac:dyDescent="0.25"/>
    <row r="1602" s="1" customFormat="1" x14ac:dyDescent="0.25"/>
    <row r="1603" s="1" customFormat="1" x14ac:dyDescent="0.25"/>
    <row r="1604" s="1" customFormat="1" x14ac:dyDescent="0.25"/>
    <row r="1605" s="1" customFormat="1" x14ac:dyDescent="0.25"/>
    <row r="1606" s="1" customFormat="1" x14ac:dyDescent="0.25"/>
    <row r="1607" s="1" customFormat="1" x14ac:dyDescent="0.25"/>
    <row r="1608" s="1" customFormat="1" x14ac:dyDescent="0.25"/>
    <row r="1609" s="1" customFormat="1" x14ac:dyDescent="0.25"/>
    <row r="1610" s="1" customFormat="1" x14ac:dyDescent="0.25"/>
    <row r="1611" s="1" customFormat="1" x14ac:dyDescent="0.25"/>
    <row r="1612" s="1" customFormat="1" x14ac:dyDescent="0.25"/>
    <row r="1613" s="1" customFormat="1" x14ac:dyDescent="0.25"/>
    <row r="1614" s="1" customFormat="1" x14ac:dyDescent="0.25"/>
    <row r="1615" s="1" customFormat="1" x14ac:dyDescent="0.25"/>
    <row r="1616" s="1" customFormat="1" x14ac:dyDescent="0.25"/>
    <row r="1617" s="1" customFormat="1" x14ac:dyDescent="0.25"/>
    <row r="1618" s="1" customFormat="1" x14ac:dyDescent="0.25"/>
    <row r="1619" s="1" customFormat="1" x14ac:dyDescent="0.25"/>
    <row r="1620" s="1" customFormat="1" x14ac:dyDescent="0.25"/>
    <row r="1621" s="1" customFormat="1" x14ac:dyDescent="0.25"/>
    <row r="1622" s="1" customFormat="1" x14ac:dyDescent="0.25"/>
    <row r="1623" s="1" customFormat="1" x14ac:dyDescent="0.25"/>
    <row r="1624" s="1" customFormat="1" x14ac:dyDescent="0.25"/>
    <row r="1625" s="1" customFormat="1" x14ac:dyDescent="0.25"/>
    <row r="1626" s="1" customFormat="1" x14ac:dyDescent="0.25"/>
    <row r="1627" s="1" customFormat="1" x14ac:dyDescent="0.25"/>
    <row r="1628" s="1" customFormat="1" x14ac:dyDescent="0.25"/>
    <row r="1629" s="1" customFormat="1" x14ac:dyDescent="0.25"/>
    <row r="1630" s="1" customFormat="1" x14ac:dyDescent="0.25"/>
    <row r="1631" s="1" customFormat="1" x14ac:dyDescent="0.25"/>
    <row r="1632" s="1" customFormat="1" x14ac:dyDescent="0.25"/>
    <row r="1633" s="1" customFormat="1" x14ac:dyDescent="0.25"/>
    <row r="1634" s="1" customFormat="1" x14ac:dyDescent="0.25"/>
    <row r="1635" s="1" customFormat="1" x14ac:dyDescent="0.25"/>
    <row r="1636" s="1" customFormat="1" x14ac:dyDescent="0.25"/>
    <row r="1637" s="1" customFormat="1" x14ac:dyDescent="0.25"/>
    <row r="1638" s="1" customFormat="1" x14ac:dyDescent="0.25"/>
    <row r="1639" s="1" customFormat="1" x14ac:dyDescent="0.25"/>
    <row r="1640" s="1" customFormat="1" x14ac:dyDescent="0.25"/>
    <row r="1641" s="1" customFormat="1" x14ac:dyDescent="0.25"/>
    <row r="1642" s="1" customFormat="1" x14ac:dyDescent="0.25"/>
    <row r="1643" s="1" customFormat="1" x14ac:dyDescent="0.25"/>
    <row r="1644" s="1" customFormat="1" x14ac:dyDescent="0.25"/>
    <row r="1645" s="1" customFormat="1" x14ac:dyDescent="0.25"/>
    <row r="1646" s="1" customFormat="1" x14ac:dyDescent="0.25"/>
    <row r="1647" s="1" customFormat="1" x14ac:dyDescent="0.25"/>
    <row r="1648" s="1" customFormat="1" x14ac:dyDescent="0.25"/>
    <row r="1649" s="1" customFormat="1" x14ac:dyDescent="0.25"/>
    <row r="1650" s="1" customFormat="1" x14ac:dyDescent="0.25"/>
    <row r="1651" s="1" customFormat="1" x14ac:dyDescent="0.25"/>
    <row r="1652" s="1" customFormat="1" x14ac:dyDescent="0.25"/>
    <row r="1653" s="1" customFormat="1" x14ac:dyDescent="0.25"/>
    <row r="1654" s="1" customFormat="1" x14ac:dyDescent="0.25"/>
    <row r="1655" s="1" customFormat="1" x14ac:dyDescent="0.25"/>
    <row r="1656" s="1" customFormat="1" x14ac:dyDescent="0.25"/>
    <row r="1657" s="1" customFormat="1" x14ac:dyDescent="0.25"/>
    <row r="1658" s="1" customFormat="1" x14ac:dyDescent="0.25"/>
    <row r="1659" s="1" customFormat="1" x14ac:dyDescent="0.25"/>
    <row r="1660" s="1" customFormat="1" x14ac:dyDescent="0.25"/>
    <row r="1661" s="1" customFormat="1" x14ac:dyDescent="0.25"/>
    <row r="1662" s="1" customFormat="1" x14ac:dyDescent="0.25"/>
    <row r="1663" s="1" customFormat="1" x14ac:dyDescent="0.25"/>
    <row r="1664" s="1" customFormat="1" x14ac:dyDescent="0.25"/>
    <row r="1665" s="1" customFormat="1" x14ac:dyDescent="0.25"/>
    <row r="1666" s="1" customFormat="1" x14ac:dyDescent="0.25"/>
    <row r="1667" s="1" customFormat="1" x14ac:dyDescent="0.25"/>
    <row r="1668" s="1" customFormat="1" x14ac:dyDescent="0.25"/>
    <row r="1669" s="1" customFormat="1" x14ac:dyDescent="0.25"/>
    <row r="1670" s="1" customFormat="1" x14ac:dyDescent="0.25"/>
    <row r="1671" s="1" customFormat="1" x14ac:dyDescent="0.25"/>
    <row r="1672" s="1" customFormat="1" x14ac:dyDescent="0.25"/>
    <row r="1673" s="1" customFormat="1" x14ac:dyDescent="0.25"/>
    <row r="1674" s="1" customFormat="1" x14ac:dyDescent="0.25"/>
    <row r="1675" s="1" customFormat="1" x14ac:dyDescent="0.25"/>
    <row r="1676" s="1" customFormat="1" x14ac:dyDescent="0.25"/>
    <row r="1677" s="1" customFormat="1" x14ac:dyDescent="0.25"/>
    <row r="1678" s="1" customFormat="1" x14ac:dyDescent="0.25"/>
    <row r="1679" s="1" customFormat="1" x14ac:dyDescent="0.25"/>
    <row r="1680" s="1" customFormat="1" x14ac:dyDescent="0.25"/>
    <row r="1681" s="1" customFormat="1" x14ac:dyDescent="0.25"/>
    <row r="1682" s="1" customFormat="1" x14ac:dyDescent="0.25"/>
    <row r="1683" s="1" customFormat="1" x14ac:dyDescent="0.25"/>
    <row r="1684" s="1" customFormat="1" x14ac:dyDescent="0.25"/>
    <row r="1685" s="1" customFormat="1" x14ac:dyDescent="0.25"/>
    <row r="1686" s="1" customFormat="1" x14ac:dyDescent="0.25"/>
    <row r="1687" s="1" customFormat="1" x14ac:dyDescent="0.25"/>
    <row r="1688" s="1" customFormat="1" x14ac:dyDescent="0.25"/>
    <row r="1689" s="1" customFormat="1" x14ac:dyDescent="0.25"/>
    <row r="1690" s="1" customFormat="1" x14ac:dyDescent="0.25"/>
    <row r="1691" s="1" customFormat="1" x14ac:dyDescent="0.25"/>
    <row r="1692" s="1" customFormat="1" x14ac:dyDescent="0.25"/>
    <row r="1693" s="1" customFormat="1" x14ac:dyDescent="0.25"/>
    <row r="1694" s="1" customFormat="1" x14ac:dyDescent="0.25"/>
    <row r="1695" s="1" customFormat="1" x14ac:dyDescent="0.25"/>
    <row r="1696" s="1" customFormat="1" x14ac:dyDescent="0.25"/>
    <row r="1697" s="1" customFormat="1" x14ac:dyDescent="0.25"/>
    <row r="1698" s="1" customFormat="1" x14ac:dyDescent="0.25"/>
    <row r="1699" s="1" customFormat="1" x14ac:dyDescent="0.25"/>
    <row r="1700" s="1" customFormat="1" x14ac:dyDescent="0.25"/>
    <row r="1701" s="1" customFormat="1" x14ac:dyDescent="0.25"/>
    <row r="1702" s="1" customFormat="1" x14ac:dyDescent="0.25"/>
    <row r="1703" s="1" customFormat="1" x14ac:dyDescent="0.25"/>
    <row r="1704" s="1" customFormat="1" x14ac:dyDescent="0.25"/>
    <row r="1705" s="1" customFormat="1" x14ac:dyDescent="0.25"/>
    <row r="1706" s="1" customFormat="1" x14ac:dyDescent="0.25"/>
    <row r="1707" s="1" customFormat="1" x14ac:dyDescent="0.25"/>
    <row r="1708" s="1" customFormat="1" x14ac:dyDescent="0.25"/>
    <row r="1709" s="1" customFormat="1" x14ac:dyDescent="0.25"/>
    <row r="1710" s="1" customFormat="1" x14ac:dyDescent="0.25"/>
    <row r="1711" s="1" customFormat="1" x14ac:dyDescent="0.25"/>
    <row r="1712" s="1" customFormat="1" x14ac:dyDescent="0.25"/>
    <row r="1713" s="1" customFormat="1" x14ac:dyDescent="0.25"/>
    <row r="1714" s="1" customFormat="1" x14ac:dyDescent="0.25"/>
    <row r="1715" s="1" customFormat="1" x14ac:dyDescent="0.25"/>
    <row r="1716" s="1" customFormat="1" x14ac:dyDescent="0.25"/>
    <row r="1717" s="1" customFormat="1" x14ac:dyDescent="0.25"/>
    <row r="1718" s="1" customFormat="1" x14ac:dyDescent="0.25"/>
    <row r="1719" s="1" customFormat="1" x14ac:dyDescent="0.25"/>
    <row r="1720" s="1" customFormat="1" x14ac:dyDescent="0.25"/>
    <row r="1721" s="1" customFormat="1" x14ac:dyDescent="0.25"/>
    <row r="1722" s="1" customFormat="1" x14ac:dyDescent="0.25"/>
    <row r="1723" s="1" customFormat="1" x14ac:dyDescent="0.25"/>
    <row r="1724" s="1" customFormat="1" x14ac:dyDescent="0.25"/>
    <row r="1725" s="1" customFormat="1" x14ac:dyDescent="0.25"/>
    <row r="1726" s="1" customFormat="1" x14ac:dyDescent="0.25"/>
    <row r="1727" s="1" customFormat="1" x14ac:dyDescent="0.25"/>
    <row r="1728" s="1" customFormat="1" x14ac:dyDescent="0.25"/>
    <row r="1729" s="1" customFormat="1" x14ac:dyDescent="0.25"/>
    <row r="1730" s="1" customFormat="1" x14ac:dyDescent="0.25"/>
    <row r="1731" s="1" customFormat="1" x14ac:dyDescent="0.25"/>
    <row r="1732" s="1" customFormat="1" x14ac:dyDescent="0.25"/>
    <row r="1733" s="1" customFormat="1" x14ac:dyDescent="0.25"/>
    <row r="1734" s="1" customFormat="1" x14ac:dyDescent="0.25"/>
    <row r="1735" s="1" customFormat="1" x14ac:dyDescent="0.25"/>
    <row r="1736" s="1" customFormat="1" x14ac:dyDescent="0.25"/>
    <row r="1737" s="1" customFormat="1" x14ac:dyDescent="0.25"/>
    <row r="1738" s="1" customFormat="1" x14ac:dyDescent="0.25"/>
    <row r="1739" s="1" customFormat="1" x14ac:dyDescent="0.25"/>
    <row r="1740" s="1" customFormat="1" x14ac:dyDescent="0.25"/>
    <row r="1741" s="1" customFormat="1" x14ac:dyDescent="0.25"/>
    <row r="1742" s="1" customFormat="1" x14ac:dyDescent="0.25"/>
    <row r="1743" s="1" customFormat="1" x14ac:dyDescent="0.25"/>
    <row r="1744" s="1" customFormat="1" x14ac:dyDescent="0.25"/>
    <row r="1745" s="1" customFormat="1" x14ac:dyDescent="0.25"/>
    <row r="1746" s="1" customFormat="1" x14ac:dyDescent="0.25"/>
    <row r="1747" s="1" customFormat="1" x14ac:dyDescent="0.25"/>
    <row r="1748" s="1" customFormat="1" x14ac:dyDescent="0.25"/>
    <row r="1749" s="1" customFormat="1" x14ac:dyDescent="0.25"/>
    <row r="1750" s="1" customFormat="1" x14ac:dyDescent="0.25"/>
    <row r="1751" s="1" customFormat="1" x14ac:dyDescent="0.25"/>
    <row r="1752" s="1" customFormat="1" x14ac:dyDescent="0.25"/>
    <row r="1753" s="1" customFormat="1" x14ac:dyDescent="0.25"/>
    <row r="1754" s="1" customFormat="1" x14ac:dyDescent="0.25"/>
    <row r="1755" s="1" customFormat="1" x14ac:dyDescent="0.25"/>
    <row r="1756" s="1" customFormat="1" x14ac:dyDescent="0.25"/>
    <row r="1757" s="1" customFormat="1" x14ac:dyDescent="0.25"/>
    <row r="1758" s="1" customFormat="1" x14ac:dyDescent="0.25"/>
    <row r="1759" s="1" customFormat="1" x14ac:dyDescent="0.25"/>
    <row r="1760" s="1" customFormat="1" x14ac:dyDescent="0.25"/>
    <row r="1761" s="1" customFormat="1" x14ac:dyDescent="0.25"/>
    <row r="1762" s="1" customFormat="1" x14ac:dyDescent="0.25"/>
    <row r="1763" s="1" customFormat="1" x14ac:dyDescent="0.25"/>
    <row r="1764" s="1" customFormat="1" x14ac:dyDescent="0.25"/>
    <row r="1765" s="1" customFormat="1" x14ac:dyDescent="0.25"/>
    <row r="1766" s="1" customFormat="1" x14ac:dyDescent="0.25"/>
    <row r="1767" s="1" customFormat="1" x14ac:dyDescent="0.25"/>
    <row r="1768" s="1" customFormat="1" x14ac:dyDescent="0.25"/>
    <row r="1769" s="1" customFormat="1" x14ac:dyDescent="0.25"/>
    <row r="1770" s="1" customFormat="1" x14ac:dyDescent="0.25"/>
    <row r="1771" s="1" customFormat="1" x14ac:dyDescent="0.25"/>
    <row r="1772" s="1" customFormat="1" x14ac:dyDescent="0.25"/>
    <row r="1773" s="1" customFormat="1" x14ac:dyDescent="0.25"/>
    <row r="1774" s="1" customFormat="1" x14ac:dyDescent="0.25"/>
    <row r="1775" s="1" customFormat="1" x14ac:dyDescent="0.25"/>
    <row r="1776" s="1" customFormat="1" x14ac:dyDescent="0.25"/>
    <row r="1777" s="1" customFormat="1" x14ac:dyDescent="0.25"/>
    <row r="1778" s="1" customFormat="1" x14ac:dyDescent="0.25"/>
    <row r="1779" s="1" customFormat="1" x14ac:dyDescent="0.25"/>
    <row r="1780" s="1" customFormat="1" x14ac:dyDescent="0.25"/>
    <row r="1781" s="1" customFormat="1" x14ac:dyDescent="0.25"/>
    <row r="1782" s="1" customFormat="1" x14ac:dyDescent="0.25"/>
    <row r="1783" s="1" customFormat="1" x14ac:dyDescent="0.25"/>
    <row r="1784" s="1" customFormat="1" x14ac:dyDescent="0.25"/>
    <row r="1785" s="1" customFormat="1" x14ac:dyDescent="0.25"/>
    <row r="1786" s="1" customFormat="1" x14ac:dyDescent="0.25"/>
    <row r="1787" s="1" customFormat="1" x14ac:dyDescent="0.25"/>
    <row r="1788" s="1" customFormat="1" x14ac:dyDescent="0.25"/>
    <row r="1789" s="1" customFormat="1" x14ac:dyDescent="0.25"/>
    <row r="1790" s="1" customFormat="1" x14ac:dyDescent="0.25"/>
    <row r="1791" s="1" customFormat="1" x14ac:dyDescent="0.25"/>
    <row r="1792" s="1" customFormat="1" x14ac:dyDescent="0.25"/>
    <row r="1793" s="1" customFormat="1" x14ac:dyDescent="0.25"/>
    <row r="1794" s="1" customFormat="1" x14ac:dyDescent="0.25"/>
    <row r="1795" s="1" customFormat="1" x14ac:dyDescent="0.25"/>
    <row r="1796" s="1" customFormat="1" x14ac:dyDescent="0.25"/>
    <row r="1797" s="1" customFormat="1" x14ac:dyDescent="0.25"/>
    <row r="1798" s="1" customFormat="1" x14ac:dyDescent="0.25"/>
    <row r="1799" s="1" customFormat="1" x14ac:dyDescent="0.25"/>
    <row r="1800" s="1" customFormat="1" x14ac:dyDescent="0.25"/>
    <row r="1801" s="1" customFormat="1" x14ac:dyDescent="0.25"/>
    <row r="1802" s="1" customFormat="1" x14ac:dyDescent="0.25"/>
    <row r="1803" s="1" customFormat="1" x14ac:dyDescent="0.25"/>
    <row r="1804" s="1" customFormat="1" x14ac:dyDescent="0.25"/>
    <row r="1805" s="1" customFormat="1" x14ac:dyDescent="0.25"/>
    <row r="1806" s="1" customFormat="1" x14ac:dyDescent="0.25"/>
    <row r="1807" s="1" customFormat="1" x14ac:dyDescent="0.25"/>
    <row r="1808" s="1" customFormat="1" x14ac:dyDescent="0.25"/>
    <row r="1809" s="1" customFormat="1" x14ac:dyDescent="0.25"/>
    <row r="1810" s="1" customFormat="1" x14ac:dyDescent="0.25"/>
    <row r="1811" s="1" customFormat="1" x14ac:dyDescent="0.25"/>
    <row r="1812" s="1" customFormat="1" x14ac:dyDescent="0.25"/>
    <row r="1813" s="1" customFormat="1" x14ac:dyDescent="0.25"/>
    <row r="1814" s="1" customFormat="1" x14ac:dyDescent="0.25"/>
    <row r="1815" s="1" customFormat="1" x14ac:dyDescent="0.25"/>
    <row r="1816" s="1" customFormat="1" x14ac:dyDescent="0.25"/>
    <row r="1817" s="1" customFormat="1" x14ac:dyDescent="0.25"/>
    <row r="1818" s="1" customFormat="1" x14ac:dyDescent="0.25"/>
    <row r="1819" s="1" customFormat="1" x14ac:dyDescent="0.25"/>
    <row r="1820" s="1" customFormat="1" x14ac:dyDescent="0.25"/>
    <row r="1821" s="1" customFormat="1" x14ac:dyDescent="0.25"/>
    <row r="1822" s="1" customFormat="1" x14ac:dyDescent="0.25"/>
    <row r="1823" s="1" customFormat="1" x14ac:dyDescent="0.25"/>
    <row r="1824" s="1" customFormat="1" x14ac:dyDescent="0.25"/>
    <row r="1825" s="1" customFormat="1" x14ac:dyDescent="0.25"/>
    <row r="1826" s="1" customFormat="1" x14ac:dyDescent="0.25"/>
    <row r="1827" s="1" customFormat="1" x14ac:dyDescent="0.25"/>
    <row r="1828" s="1" customFormat="1" x14ac:dyDescent="0.25"/>
    <row r="1829" s="1" customFormat="1" x14ac:dyDescent="0.25"/>
    <row r="1830" s="1" customFormat="1" x14ac:dyDescent="0.25"/>
    <row r="1831" s="1" customFormat="1" x14ac:dyDescent="0.25"/>
    <row r="1832" s="1" customFormat="1" x14ac:dyDescent="0.25"/>
    <row r="1833" s="1" customFormat="1" x14ac:dyDescent="0.25"/>
    <row r="1834" s="1" customFormat="1" x14ac:dyDescent="0.25"/>
    <row r="1835" s="1" customFormat="1" x14ac:dyDescent="0.25"/>
    <row r="1836" s="1" customFormat="1" x14ac:dyDescent="0.25"/>
    <row r="1837" s="1" customFormat="1" x14ac:dyDescent="0.25"/>
    <row r="1838" s="1" customFormat="1" x14ac:dyDescent="0.25"/>
    <row r="1839" s="1" customFormat="1" x14ac:dyDescent="0.25"/>
    <row r="1840" s="1" customFormat="1" x14ac:dyDescent="0.25"/>
    <row r="1841" s="1" customFormat="1" x14ac:dyDescent="0.25"/>
    <row r="1842" s="1" customFormat="1" x14ac:dyDescent="0.25"/>
    <row r="1843" s="1" customFormat="1" x14ac:dyDescent="0.25"/>
    <row r="1844" s="1" customFormat="1" x14ac:dyDescent="0.25"/>
    <row r="1845" s="1" customFormat="1" x14ac:dyDescent="0.25"/>
    <row r="1846" s="1" customFormat="1" x14ac:dyDescent="0.25"/>
    <row r="1847" s="1" customFormat="1" x14ac:dyDescent="0.25"/>
    <row r="1848" s="1" customFormat="1" x14ac:dyDescent="0.25"/>
    <row r="1849" s="1" customFormat="1" x14ac:dyDescent="0.25"/>
    <row r="1850" s="1" customFormat="1" x14ac:dyDescent="0.25"/>
    <row r="1851" s="1" customFormat="1" x14ac:dyDescent="0.25"/>
    <row r="1852" s="1" customFormat="1" x14ac:dyDescent="0.25"/>
    <row r="1853" s="1" customFormat="1" x14ac:dyDescent="0.25"/>
    <row r="1854" s="1" customFormat="1" x14ac:dyDescent="0.25"/>
    <row r="1855" s="1" customFormat="1" x14ac:dyDescent="0.25"/>
    <row r="1856" s="1" customFormat="1" x14ac:dyDescent="0.25"/>
    <row r="1857" s="1" customFormat="1" x14ac:dyDescent="0.25"/>
    <row r="1858" s="1" customFormat="1" x14ac:dyDescent="0.25"/>
    <row r="1859" s="1" customFormat="1" x14ac:dyDescent="0.25"/>
    <row r="1860" s="1" customFormat="1" x14ac:dyDescent="0.25"/>
    <row r="1861" s="1" customFormat="1" x14ac:dyDescent="0.25"/>
    <row r="1862" s="1" customFormat="1" x14ac:dyDescent="0.25"/>
    <row r="1863" s="1" customFormat="1" x14ac:dyDescent="0.25"/>
    <row r="1864" s="1" customFormat="1" x14ac:dyDescent="0.25"/>
    <row r="1865" s="1" customFormat="1" x14ac:dyDescent="0.25"/>
    <row r="1866" s="1" customFormat="1" x14ac:dyDescent="0.25"/>
    <row r="1867" s="1" customFormat="1" x14ac:dyDescent="0.25"/>
    <row r="1868" s="1" customFormat="1" x14ac:dyDescent="0.25"/>
    <row r="1869" s="1" customFormat="1" x14ac:dyDescent="0.25"/>
    <row r="1870" s="1" customFormat="1" x14ac:dyDescent="0.25"/>
    <row r="1871" s="1" customFormat="1" x14ac:dyDescent="0.25"/>
    <row r="1872" s="1" customFormat="1" x14ac:dyDescent="0.25"/>
    <row r="1873" s="1" customFormat="1" x14ac:dyDescent="0.25"/>
    <row r="1874" s="1" customFormat="1" x14ac:dyDescent="0.25"/>
    <row r="1875" s="1" customFormat="1" x14ac:dyDescent="0.25"/>
    <row r="1876" s="1" customFormat="1" x14ac:dyDescent="0.25"/>
    <row r="1877" s="1" customFormat="1" x14ac:dyDescent="0.25"/>
    <row r="1878" s="1" customFormat="1" x14ac:dyDescent="0.25"/>
    <row r="1879" s="1" customFormat="1" x14ac:dyDescent="0.25"/>
    <row r="1880" s="1" customFormat="1" x14ac:dyDescent="0.25"/>
    <row r="1881" s="1" customFormat="1" x14ac:dyDescent="0.25"/>
    <row r="1882" s="1" customFormat="1" x14ac:dyDescent="0.25"/>
    <row r="1883" s="1" customFormat="1" x14ac:dyDescent="0.25"/>
    <row r="1884" s="1" customFormat="1" x14ac:dyDescent="0.25"/>
    <row r="1885" s="1" customFormat="1" x14ac:dyDescent="0.25"/>
    <row r="1886" s="1" customFormat="1" x14ac:dyDescent="0.25"/>
    <row r="1887" s="1" customFormat="1" x14ac:dyDescent="0.25"/>
    <row r="1888" s="1" customFormat="1" x14ac:dyDescent="0.25"/>
    <row r="1889" s="1" customFormat="1" x14ac:dyDescent="0.25"/>
    <row r="1890" s="1" customFormat="1" x14ac:dyDescent="0.25"/>
    <row r="1891" s="1" customFormat="1" x14ac:dyDescent="0.25"/>
    <row r="1892" s="1" customFormat="1" x14ac:dyDescent="0.25"/>
    <row r="1893" s="1" customFormat="1" x14ac:dyDescent="0.25"/>
    <row r="1894" s="1" customFormat="1" x14ac:dyDescent="0.25"/>
    <row r="1895" s="1" customFormat="1" x14ac:dyDescent="0.25"/>
    <row r="1896" s="1" customFormat="1" x14ac:dyDescent="0.25"/>
    <row r="1897" s="1" customFormat="1" x14ac:dyDescent="0.25"/>
    <row r="1898" s="1" customFormat="1" x14ac:dyDescent="0.25"/>
    <row r="1899" s="1" customFormat="1" x14ac:dyDescent="0.25"/>
    <row r="1900" s="1" customFormat="1" x14ac:dyDescent="0.25"/>
    <row r="1901" s="1" customFormat="1" x14ac:dyDescent="0.25"/>
    <row r="1902" s="1" customFormat="1" x14ac:dyDescent="0.25"/>
    <row r="1903" s="1" customFormat="1" x14ac:dyDescent="0.25"/>
    <row r="1904" s="1" customFormat="1" x14ac:dyDescent="0.25"/>
    <row r="1905" s="1" customFormat="1" x14ac:dyDescent="0.25"/>
    <row r="1906" s="1" customFormat="1" x14ac:dyDescent="0.25"/>
    <row r="1907" s="1" customFormat="1" x14ac:dyDescent="0.25"/>
    <row r="1908" s="1" customFormat="1" x14ac:dyDescent="0.25"/>
    <row r="1909" s="1" customFormat="1" x14ac:dyDescent="0.25"/>
    <row r="1910" s="1" customFormat="1" x14ac:dyDescent="0.25"/>
    <row r="1911" s="1" customFormat="1" x14ac:dyDescent="0.25"/>
    <row r="1912" s="1" customFormat="1" x14ac:dyDescent="0.25"/>
    <row r="1913" s="1" customFormat="1" x14ac:dyDescent="0.25"/>
    <row r="1914" s="1" customFormat="1" x14ac:dyDescent="0.25"/>
    <row r="1915" s="1" customFormat="1" x14ac:dyDescent="0.25"/>
    <row r="1916" s="1" customFormat="1" x14ac:dyDescent="0.25"/>
    <row r="1917" s="1" customFormat="1" x14ac:dyDescent="0.25"/>
    <row r="1918" s="1" customFormat="1" x14ac:dyDescent="0.25"/>
    <row r="1919" s="1" customFormat="1" x14ac:dyDescent="0.25"/>
    <row r="1920" s="1" customFormat="1" x14ac:dyDescent="0.25"/>
    <row r="1921" s="1" customFormat="1" x14ac:dyDescent="0.25"/>
    <row r="1922" s="1" customFormat="1" x14ac:dyDescent="0.25"/>
    <row r="1923" s="1" customFormat="1" x14ac:dyDescent="0.25"/>
    <row r="1924" s="1" customFormat="1" x14ac:dyDescent="0.25"/>
    <row r="1925" s="1" customFormat="1" x14ac:dyDescent="0.25"/>
    <row r="1926" s="1" customFormat="1" x14ac:dyDescent="0.25"/>
    <row r="1927" s="1" customFormat="1" x14ac:dyDescent="0.25"/>
    <row r="1928" s="1" customFormat="1" x14ac:dyDescent="0.25"/>
    <row r="1929" s="1" customFormat="1" x14ac:dyDescent="0.25"/>
    <row r="1930" s="1" customFormat="1" x14ac:dyDescent="0.25"/>
    <row r="1931" s="1" customFormat="1" x14ac:dyDescent="0.25"/>
    <row r="1932" s="1" customFormat="1" x14ac:dyDescent="0.25"/>
    <row r="1933" s="1" customFormat="1" x14ac:dyDescent="0.25"/>
    <row r="1934" s="1" customFormat="1" x14ac:dyDescent="0.25"/>
    <row r="1935" s="1" customFormat="1" x14ac:dyDescent="0.25"/>
    <row r="1936" s="1" customFormat="1" x14ac:dyDescent="0.25"/>
    <row r="1937" s="1" customFormat="1" x14ac:dyDescent="0.25"/>
    <row r="1938" s="1" customFormat="1" x14ac:dyDescent="0.25"/>
    <row r="1939" s="1" customFormat="1" x14ac:dyDescent="0.25"/>
    <row r="1940" s="1" customFormat="1" x14ac:dyDescent="0.25"/>
    <row r="1941" s="1" customFormat="1" x14ac:dyDescent="0.25"/>
    <row r="1942" s="1" customFormat="1" x14ac:dyDescent="0.25"/>
    <row r="1943" s="1" customFormat="1" x14ac:dyDescent="0.25"/>
    <row r="1944" s="1" customFormat="1" x14ac:dyDescent="0.25"/>
    <row r="1945" s="1" customFormat="1" x14ac:dyDescent="0.25"/>
    <row r="1946" s="1" customFormat="1" x14ac:dyDescent="0.25"/>
    <row r="1947" s="1" customFormat="1" x14ac:dyDescent="0.25"/>
    <row r="1948" s="1" customFormat="1" x14ac:dyDescent="0.25"/>
    <row r="1949" s="1" customFormat="1" x14ac:dyDescent="0.25"/>
    <row r="1950" s="1" customFormat="1" x14ac:dyDescent="0.25"/>
    <row r="1951" s="1" customFormat="1" x14ac:dyDescent="0.25"/>
    <row r="1952" s="1" customFormat="1" x14ac:dyDescent="0.25"/>
    <row r="1953" s="1" customFormat="1" x14ac:dyDescent="0.25"/>
    <row r="1954" s="1" customFormat="1" x14ac:dyDescent="0.25"/>
    <row r="1955" s="1" customFormat="1" x14ac:dyDescent="0.25"/>
    <row r="1956" s="1" customFormat="1" x14ac:dyDescent="0.25"/>
    <row r="1957" s="1" customFormat="1" x14ac:dyDescent="0.25"/>
    <row r="1958" s="1" customFormat="1" x14ac:dyDescent="0.25"/>
    <row r="1959" s="1" customFormat="1" x14ac:dyDescent="0.25"/>
    <row r="1960" s="1" customFormat="1" x14ac:dyDescent="0.25"/>
    <row r="1961" s="1" customFormat="1" x14ac:dyDescent="0.25"/>
    <row r="1962" s="1" customFormat="1" x14ac:dyDescent="0.25"/>
    <row r="1963" s="1" customFormat="1" x14ac:dyDescent="0.25"/>
    <row r="1964" s="1" customFormat="1" x14ac:dyDescent="0.25"/>
    <row r="1965" s="1" customFormat="1" x14ac:dyDescent="0.25"/>
    <row r="1966" s="1" customFormat="1" x14ac:dyDescent="0.25"/>
    <row r="1967" s="1" customFormat="1" x14ac:dyDescent="0.25"/>
    <row r="1968" s="1" customFormat="1" x14ac:dyDescent="0.25"/>
    <row r="1969" s="1" customFormat="1" x14ac:dyDescent="0.25"/>
    <row r="1970" s="1" customFormat="1" x14ac:dyDescent="0.25"/>
    <row r="1971" s="1" customFormat="1" x14ac:dyDescent="0.25"/>
    <row r="1972" s="1" customFormat="1" x14ac:dyDescent="0.25"/>
    <row r="1973" s="1" customFormat="1" x14ac:dyDescent="0.25"/>
    <row r="1974" s="1" customFormat="1" x14ac:dyDescent="0.25"/>
    <row r="1975" s="1" customFormat="1" x14ac:dyDescent="0.25"/>
    <row r="1976" s="1" customFormat="1" x14ac:dyDescent="0.25"/>
    <row r="1977" s="1" customFormat="1" x14ac:dyDescent="0.25"/>
    <row r="1978" s="1" customFormat="1" x14ac:dyDescent="0.25"/>
    <row r="1979" s="1" customFormat="1" x14ac:dyDescent="0.25"/>
    <row r="1980" s="1" customFormat="1" x14ac:dyDescent="0.25"/>
    <row r="1981" s="1" customFormat="1" x14ac:dyDescent="0.25"/>
    <row r="1982" s="1" customFormat="1" x14ac:dyDescent="0.25"/>
    <row r="1983" s="1" customFormat="1" x14ac:dyDescent="0.25"/>
    <row r="1984" s="1" customFormat="1" x14ac:dyDescent="0.25"/>
    <row r="1985" s="1" customFormat="1" x14ac:dyDescent="0.25"/>
    <row r="1986" s="1" customFormat="1" x14ac:dyDescent="0.25"/>
    <row r="1987" s="1" customFormat="1" x14ac:dyDescent="0.25"/>
    <row r="1988" s="1" customFormat="1" x14ac:dyDescent="0.25"/>
    <row r="1989" s="1" customFormat="1" x14ac:dyDescent="0.25"/>
    <row r="1990" s="1" customFormat="1" x14ac:dyDescent="0.25"/>
    <row r="1991" s="1" customFormat="1" x14ac:dyDescent="0.25"/>
    <row r="1992" s="1" customFormat="1" x14ac:dyDescent="0.25"/>
    <row r="1993" s="1" customFormat="1" x14ac:dyDescent="0.25"/>
    <row r="1994" s="1" customFormat="1" x14ac:dyDescent="0.25"/>
    <row r="1995" s="1" customFormat="1" x14ac:dyDescent="0.25"/>
    <row r="1996" s="1" customFormat="1" x14ac:dyDescent="0.25"/>
    <row r="1997" s="1" customFormat="1" x14ac:dyDescent="0.25"/>
    <row r="1998" s="1" customFormat="1" x14ac:dyDescent="0.25"/>
    <row r="1999" s="1" customFormat="1" x14ac:dyDescent="0.25"/>
    <row r="2000" s="1" customFormat="1" x14ac:dyDescent="0.25"/>
    <row r="2001" s="1" customFormat="1" x14ac:dyDescent="0.25"/>
    <row r="2002" s="1" customFormat="1" x14ac:dyDescent="0.25"/>
    <row r="2003" s="1" customFormat="1" x14ac:dyDescent="0.25"/>
    <row r="2004" s="1" customFormat="1" x14ac:dyDescent="0.25"/>
    <row r="2005" s="1" customFormat="1" x14ac:dyDescent="0.25"/>
    <row r="2006" s="1" customFormat="1" x14ac:dyDescent="0.25"/>
    <row r="2007" s="1" customFormat="1" x14ac:dyDescent="0.25"/>
    <row r="2008" s="1" customFormat="1" x14ac:dyDescent="0.25"/>
    <row r="2009" s="1" customFormat="1" x14ac:dyDescent="0.25"/>
    <row r="2010" s="1" customFormat="1" x14ac:dyDescent="0.25"/>
    <row r="2011" s="1" customFormat="1" x14ac:dyDescent="0.25"/>
    <row r="2012" s="1" customFormat="1" x14ac:dyDescent="0.25"/>
    <row r="2013" s="1" customFormat="1" x14ac:dyDescent="0.25"/>
    <row r="2014" s="1" customFormat="1" x14ac:dyDescent="0.25"/>
    <row r="2015" s="1" customFormat="1" x14ac:dyDescent="0.25"/>
    <row r="2016" s="1" customFormat="1" x14ac:dyDescent="0.25"/>
    <row r="2017" s="1" customFormat="1" x14ac:dyDescent="0.25"/>
    <row r="2018" s="1" customFormat="1" x14ac:dyDescent="0.25"/>
    <row r="2019" s="1" customFormat="1" x14ac:dyDescent="0.25"/>
    <row r="2020" s="1" customFormat="1" x14ac:dyDescent="0.25"/>
    <row r="2021" s="1" customFormat="1" x14ac:dyDescent="0.25"/>
    <row r="2022" s="1" customFormat="1" x14ac:dyDescent="0.25"/>
    <row r="2023" s="1" customFormat="1" x14ac:dyDescent="0.25"/>
    <row r="2024" s="1" customFormat="1" x14ac:dyDescent="0.25"/>
    <row r="2025" s="1" customFormat="1" x14ac:dyDescent="0.25"/>
    <row r="2026" s="1" customFormat="1" x14ac:dyDescent="0.25"/>
    <row r="2027" s="1" customFormat="1" x14ac:dyDescent="0.25"/>
    <row r="2028" s="1" customFormat="1" x14ac:dyDescent="0.25"/>
    <row r="2029" s="1" customFormat="1" x14ac:dyDescent="0.25"/>
    <row r="2030" s="1" customFormat="1" x14ac:dyDescent="0.25"/>
    <row r="2031" s="1" customFormat="1" x14ac:dyDescent="0.25"/>
    <row r="2032" s="1" customFormat="1" x14ac:dyDescent="0.25"/>
    <row r="2033" s="1" customFormat="1" x14ac:dyDescent="0.25"/>
    <row r="2034" s="1" customFormat="1" x14ac:dyDescent="0.25"/>
    <row r="2035" s="1" customFormat="1" x14ac:dyDescent="0.25"/>
    <row r="2036" s="1" customFormat="1" x14ac:dyDescent="0.25"/>
    <row r="2037" s="1" customFormat="1" x14ac:dyDescent="0.25"/>
    <row r="2038" s="1" customFormat="1" x14ac:dyDescent="0.25"/>
    <row r="2039" s="1" customFormat="1" x14ac:dyDescent="0.25"/>
    <row r="2040" s="1" customFormat="1" x14ac:dyDescent="0.25"/>
    <row r="2041" s="1" customFormat="1" x14ac:dyDescent="0.25"/>
    <row r="2042" s="1" customFormat="1" x14ac:dyDescent="0.25"/>
    <row r="2043" s="1" customFormat="1" x14ac:dyDescent="0.25"/>
    <row r="2044" s="1" customFormat="1" x14ac:dyDescent="0.25"/>
    <row r="2045" s="1" customFormat="1" x14ac:dyDescent="0.25"/>
    <row r="2046" s="1" customFormat="1" x14ac:dyDescent="0.25"/>
    <row r="2047" s="1" customFormat="1" x14ac:dyDescent="0.25"/>
    <row r="2048" s="1" customFormat="1" x14ac:dyDescent="0.25"/>
    <row r="2049" s="1" customFormat="1" x14ac:dyDescent="0.25"/>
    <row r="2050" s="1" customFormat="1" x14ac:dyDescent="0.25"/>
    <row r="2051" s="1" customFormat="1" x14ac:dyDescent="0.25"/>
    <row r="2052" s="1" customFormat="1" x14ac:dyDescent="0.25"/>
    <row r="2053" s="1" customFormat="1" x14ac:dyDescent="0.25"/>
    <row r="2054" s="1" customFormat="1" x14ac:dyDescent="0.25"/>
    <row r="2055" s="1" customFormat="1" x14ac:dyDescent="0.25"/>
    <row r="2056" s="1" customFormat="1" x14ac:dyDescent="0.25"/>
    <row r="2057" s="1" customFormat="1" x14ac:dyDescent="0.25"/>
    <row r="2058" s="1" customFormat="1" x14ac:dyDescent="0.25"/>
    <row r="2059" s="1" customFormat="1" x14ac:dyDescent="0.25"/>
    <row r="2060" s="1" customFormat="1" x14ac:dyDescent="0.25"/>
    <row r="2061" s="1" customFormat="1" x14ac:dyDescent="0.25"/>
    <row r="2062" s="1" customFormat="1" x14ac:dyDescent="0.25"/>
    <row r="2063" s="1" customFormat="1" x14ac:dyDescent="0.25"/>
    <row r="2064" s="1" customFormat="1" x14ac:dyDescent="0.25"/>
    <row r="2065" s="1" customFormat="1" x14ac:dyDescent="0.25"/>
    <row r="2066" s="1" customFormat="1" x14ac:dyDescent="0.25"/>
    <row r="2067" s="1" customFormat="1" x14ac:dyDescent="0.25"/>
    <row r="2068" s="1" customFormat="1" x14ac:dyDescent="0.25"/>
    <row r="2069" s="1" customFormat="1" x14ac:dyDescent="0.25"/>
    <row r="2070" s="1" customFormat="1" x14ac:dyDescent="0.25"/>
    <row r="2071" s="1" customFormat="1" x14ac:dyDescent="0.25"/>
    <row r="2072" s="1" customFormat="1" x14ac:dyDescent="0.25"/>
    <row r="2073" s="1" customFormat="1" x14ac:dyDescent="0.25"/>
    <row r="2074" s="1" customFormat="1" x14ac:dyDescent="0.25"/>
    <row r="2075" s="1" customFormat="1" x14ac:dyDescent="0.25"/>
    <row r="2076" s="1" customFormat="1" x14ac:dyDescent="0.25"/>
    <row r="2077" s="1" customFormat="1" x14ac:dyDescent="0.25"/>
    <row r="2078" s="1" customFormat="1" x14ac:dyDescent="0.25"/>
    <row r="2079" s="1" customFormat="1" x14ac:dyDescent="0.25"/>
    <row r="2080" s="1" customFormat="1" x14ac:dyDescent="0.25"/>
    <row r="2081" s="1" customFormat="1" x14ac:dyDescent="0.25"/>
    <row r="2082" s="1" customFormat="1" x14ac:dyDescent="0.25"/>
    <row r="2083" s="1" customFormat="1" x14ac:dyDescent="0.25"/>
    <row r="2084" s="1" customFormat="1" x14ac:dyDescent="0.25"/>
    <row r="2085" s="1" customFormat="1" x14ac:dyDescent="0.25"/>
    <row r="2086" s="1" customFormat="1" x14ac:dyDescent="0.25"/>
    <row r="2087" s="1" customFormat="1" x14ac:dyDescent="0.25"/>
    <row r="2088" s="1" customFormat="1" x14ac:dyDescent="0.25"/>
    <row r="2089" s="1" customFormat="1" x14ac:dyDescent="0.25"/>
    <row r="2090" s="1" customFormat="1" x14ac:dyDescent="0.25"/>
    <row r="2091" s="1" customFormat="1" x14ac:dyDescent="0.25"/>
    <row r="2092" s="1" customFormat="1" x14ac:dyDescent="0.25"/>
    <row r="2093" s="1" customFormat="1" x14ac:dyDescent="0.25"/>
    <row r="2094" s="1" customFormat="1" x14ac:dyDescent="0.25"/>
    <row r="2095" s="1" customFormat="1" x14ac:dyDescent="0.25"/>
    <row r="2096" s="1" customFormat="1" x14ac:dyDescent="0.25"/>
    <row r="2097" s="1" customFormat="1" x14ac:dyDescent="0.25"/>
    <row r="2098" s="1" customFormat="1" x14ac:dyDescent="0.25"/>
    <row r="2099" s="1" customFormat="1" x14ac:dyDescent="0.25"/>
    <row r="2100" s="1" customFormat="1" x14ac:dyDescent="0.25"/>
    <row r="2101" s="1" customFormat="1" x14ac:dyDescent="0.25"/>
    <row r="2102" s="1" customFormat="1" x14ac:dyDescent="0.25"/>
    <row r="2103" s="1" customFormat="1" x14ac:dyDescent="0.25"/>
    <row r="2104" s="1" customFormat="1" x14ac:dyDescent="0.25"/>
    <row r="2105" s="1" customFormat="1" x14ac:dyDescent="0.25"/>
    <row r="2106" s="1" customFormat="1" x14ac:dyDescent="0.25"/>
    <row r="2107" s="1" customFormat="1" x14ac:dyDescent="0.25"/>
    <row r="2108" s="1" customFormat="1" x14ac:dyDescent="0.25"/>
    <row r="2109" s="1" customFormat="1" x14ac:dyDescent="0.25"/>
    <row r="2110" s="1" customFormat="1" x14ac:dyDescent="0.25"/>
    <row r="2111" s="1" customFormat="1" x14ac:dyDescent="0.25"/>
    <row r="2112" s="1" customFormat="1" x14ac:dyDescent="0.25"/>
    <row r="2113" s="1" customFormat="1" x14ac:dyDescent="0.25"/>
    <row r="2114" s="1" customFormat="1" x14ac:dyDescent="0.25"/>
    <row r="2115" s="1" customFormat="1" x14ac:dyDescent="0.25"/>
    <row r="2116" s="1" customFormat="1" x14ac:dyDescent="0.25"/>
    <row r="2117" s="1" customFormat="1" x14ac:dyDescent="0.25"/>
    <row r="2118" s="1" customFormat="1" x14ac:dyDescent="0.25"/>
    <row r="2119" s="1" customFormat="1" x14ac:dyDescent="0.25"/>
    <row r="2120" s="1" customFormat="1" x14ac:dyDescent="0.25"/>
    <row r="2121" s="1" customFormat="1" x14ac:dyDescent="0.25"/>
    <row r="2122" s="1" customFormat="1" x14ac:dyDescent="0.25"/>
    <row r="2123" s="1" customFormat="1" x14ac:dyDescent="0.25"/>
    <row r="2124" s="1" customFormat="1" x14ac:dyDescent="0.25"/>
    <row r="2125" s="1" customFormat="1" x14ac:dyDescent="0.25"/>
    <row r="2126" s="1" customFormat="1" x14ac:dyDescent="0.25"/>
    <row r="2127" s="1" customFormat="1" x14ac:dyDescent="0.25"/>
    <row r="2128" s="1" customFormat="1" x14ac:dyDescent="0.25"/>
    <row r="2129" s="1" customFormat="1" x14ac:dyDescent="0.25"/>
    <row r="2130" s="1" customFormat="1" x14ac:dyDescent="0.25"/>
    <row r="2131" s="1" customFormat="1" x14ac:dyDescent="0.25"/>
    <row r="2132" s="1" customFormat="1" x14ac:dyDescent="0.25"/>
    <row r="2133" s="1" customFormat="1" x14ac:dyDescent="0.25"/>
    <row r="2134" s="1" customFormat="1" x14ac:dyDescent="0.25"/>
    <row r="2135" s="1" customFormat="1" x14ac:dyDescent="0.25"/>
    <row r="2136" s="1" customFormat="1" x14ac:dyDescent="0.25"/>
    <row r="2137" s="1" customFormat="1" x14ac:dyDescent="0.25"/>
    <row r="2138" s="1" customFormat="1" x14ac:dyDescent="0.25"/>
    <row r="2139" s="1" customFormat="1" x14ac:dyDescent="0.25"/>
    <row r="2140" s="1" customFormat="1" x14ac:dyDescent="0.25"/>
    <row r="2141" s="1" customFormat="1" x14ac:dyDescent="0.25"/>
    <row r="2142" s="1" customFormat="1" x14ac:dyDescent="0.25"/>
    <row r="2143" s="1" customFormat="1" x14ac:dyDescent="0.25"/>
    <row r="2144" s="1" customFormat="1" x14ac:dyDescent="0.25"/>
    <row r="2145" s="1" customFormat="1" x14ac:dyDescent="0.25"/>
    <row r="2146" s="1" customFormat="1" x14ac:dyDescent="0.25"/>
    <row r="2147" s="1" customFormat="1" x14ac:dyDescent="0.25"/>
    <row r="2148" s="1" customFormat="1" x14ac:dyDescent="0.25"/>
    <row r="2149" s="1" customFormat="1" x14ac:dyDescent="0.25"/>
    <row r="2150" s="1" customFormat="1" x14ac:dyDescent="0.25"/>
    <row r="2151" s="1" customFormat="1" x14ac:dyDescent="0.25"/>
    <row r="2152" s="1" customFormat="1" x14ac:dyDescent="0.25"/>
    <row r="2153" s="1" customFormat="1" x14ac:dyDescent="0.25"/>
    <row r="2154" s="1" customFormat="1" x14ac:dyDescent="0.25"/>
    <row r="2155" s="1" customFormat="1" x14ac:dyDescent="0.25"/>
    <row r="2156" s="1" customFormat="1" x14ac:dyDescent="0.25"/>
    <row r="2157" s="1" customFormat="1" x14ac:dyDescent="0.25"/>
    <row r="2158" s="1" customFormat="1" x14ac:dyDescent="0.25"/>
    <row r="2159" s="1" customFormat="1" x14ac:dyDescent="0.25"/>
    <row r="2160" s="1" customFormat="1" x14ac:dyDescent="0.25"/>
    <row r="2161" s="1" customFormat="1" x14ac:dyDescent="0.25"/>
    <row r="2162" s="1" customFormat="1" x14ac:dyDescent="0.25"/>
    <row r="2163" s="1" customFormat="1" x14ac:dyDescent="0.25"/>
    <row r="2164" s="1" customFormat="1" x14ac:dyDescent="0.25"/>
    <row r="2165" s="1" customFormat="1" x14ac:dyDescent="0.25"/>
    <row r="2166" s="1" customFormat="1" x14ac:dyDescent="0.25"/>
    <row r="2167" s="1" customFormat="1" x14ac:dyDescent="0.25"/>
    <row r="2168" s="1" customFormat="1" x14ac:dyDescent="0.25"/>
    <row r="2169" s="1" customFormat="1" x14ac:dyDescent="0.25"/>
    <row r="2170" s="1" customFormat="1" x14ac:dyDescent="0.25"/>
    <row r="2171" s="1" customFormat="1" x14ac:dyDescent="0.25"/>
    <row r="2172" s="1" customFormat="1" x14ac:dyDescent="0.25"/>
    <row r="2173" s="1" customFormat="1" x14ac:dyDescent="0.25"/>
    <row r="2174" s="1" customFormat="1" x14ac:dyDescent="0.25"/>
    <row r="2175" s="1" customFormat="1" x14ac:dyDescent="0.25"/>
    <row r="2176" s="1" customFormat="1" x14ac:dyDescent="0.25"/>
    <row r="2177" s="1" customFormat="1" x14ac:dyDescent="0.25"/>
    <row r="2178" s="1" customFormat="1" x14ac:dyDescent="0.25"/>
    <row r="2179" s="1" customFormat="1" x14ac:dyDescent="0.25"/>
    <row r="2180" s="1" customFormat="1" x14ac:dyDescent="0.25"/>
    <row r="2181" s="1" customFormat="1" x14ac:dyDescent="0.25"/>
    <row r="2182" s="1" customFormat="1" x14ac:dyDescent="0.25"/>
    <row r="2183" s="1" customFormat="1" x14ac:dyDescent="0.25"/>
    <row r="2184" s="1" customFormat="1" x14ac:dyDescent="0.25"/>
    <row r="2185" s="1" customFormat="1" x14ac:dyDescent="0.25"/>
    <row r="2186" s="1" customFormat="1" x14ac:dyDescent="0.25"/>
    <row r="2187" s="1" customFormat="1" x14ac:dyDescent="0.25"/>
    <row r="2188" s="1" customFormat="1" x14ac:dyDescent="0.25"/>
    <row r="2189" s="1" customFormat="1" x14ac:dyDescent="0.25"/>
    <row r="2190" s="1" customFormat="1" x14ac:dyDescent="0.25"/>
    <row r="2191" s="1" customFormat="1" x14ac:dyDescent="0.25"/>
    <row r="2192" s="1" customFormat="1" x14ac:dyDescent="0.25"/>
    <row r="2193" s="1" customFormat="1" x14ac:dyDescent="0.25"/>
    <row r="2194" s="1" customFormat="1" x14ac:dyDescent="0.25"/>
    <row r="2195" s="1" customFormat="1" x14ac:dyDescent="0.25"/>
    <row r="2196" s="1" customFormat="1" x14ac:dyDescent="0.25"/>
    <row r="2197" s="1" customFormat="1" x14ac:dyDescent="0.25"/>
    <row r="2198" s="1" customFormat="1" x14ac:dyDescent="0.25"/>
    <row r="2199" s="1" customFormat="1" x14ac:dyDescent="0.25"/>
    <row r="2200" s="1" customFormat="1" x14ac:dyDescent="0.25"/>
    <row r="2201" s="1" customFormat="1" x14ac:dyDescent="0.25"/>
    <row r="2202" s="1" customFormat="1" x14ac:dyDescent="0.25"/>
    <row r="2203" s="1" customFormat="1" x14ac:dyDescent="0.25"/>
    <row r="2204" s="1" customFormat="1" x14ac:dyDescent="0.25"/>
    <row r="2205" s="1" customFormat="1" x14ac:dyDescent="0.25"/>
    <row r="2206" s="1" customFormat="1" x14ac:dyDescent="0.25"/>
    <row r="2207" s="1" customFormat="1" x14ac:dyDescent="0.25"/>
    <row r="2208" s="1" customFormat="1" x14ac:dyDescent="0.25"/>
    <row r="2209" s="1" customFormat="1" x14ac:dyDescent="0.25"/>
    <row r="2210" s="1" customFormat="1" x14ac:dyDescent="0.25"/>
    <row r="2211" s="1" customFormat="1" x14ac:dyDescent="0.25"/>
    <row r="2212" s="1" customFormat="1" x14ac:dyDescent="0.25"/>
    <row r="2213" s="1" customFormat="1" x14ac:dyDescent="0.25"/>
    <row r="2214" s="1" customFormat="1" x14ac:dyDescent="0.25"/>
    <row r="2215" s="1" customFormat="1" x14ac:dyDescent="0.25"/>
    <row r="2216" s="1" customFormat="1" x14ac:dyDescent="0.25"/>
    <row r="2217" s="1" customFormat="1" x14ac:dyDescent="0.25"/>
    <row r="2218" s="1" customFormat="1" x14ac:dyDescent="0.25"/>
    <row r="2219" s="1" customFormat="1" x14ac:dyDescent="0.25"/>
    <row r="2220" s="1" customFormat="1" x14ac:dyDescent="0.25"/>
    <row r="2221" s="1" customFormat="1" x14ac:dyDescent="0.25"/>
    <row r="2222" s="1" customFormat="1" x14ac:dyDescent="0.25"/>
    <row r="2223" s="1" customFormat="1" x14ac:dyDescent="0.25"/>
    <row r="2224" s="1" customFormat="1" x14ac:dyDescent="0.25"/>
    <row r="2225" s="1" customFormat="1" x14ac:dyDescent="0.25"/>
    <row r="2226" s="1" customFormat="1" x14ac:dyDescent="0.25"/>
    <row r="2227" s="1" customFormat="1" x14ac:dyDescent="0.25"/>
    <row r="2228" s="1" customFormat="1" x14ac:dyDescent="0.25"/>
    <row r="2229" s="1" customFormat="1" x14ac:dyDescent="0.25"/>
    <row r="2230" s="1" customFormat="1" x14ac:dyDescent="0.25"/>
    <row r="2231" s="1" customFormat="1" x14ac:dyDescent="0.25"/>
    <row r="2232" s="1" customFormat="1" x14ac:dyDescent="0.25"/>
    <row r="2233" s="1" customFormat="1" x14ac:dyDescent="0.25"/>
    <row r="2234" s="1" customFormat="1" x14ac:dyDescent="0.25"/>
    <row r="2235" s="1" customFormat="1" x14ac:dyDescent="0.25"/>
    <row r="2236" s="1" customFormat="1" x14ac:dyDescent="0.25"/>
    <row r="2237" s="1" customFormat="1" x14ac:dyDescent="0.25"/>
    <row r="2238" s="1" customFormat="1" x14ac:dyDescent="0.25"/>
    <row r="2239" s="1" customFormat="1" x14ac:dyDescent="0.25"/>
    <row r="2240" s="1" customFormat="1" x14ac:dyDescent="0.25"/>
    <row r="2241" s="1" customFormat="1" x14ac:dyDescent="0.25"/>
    <row r="2242" s="1" customFormat="1" x14ac:dyDescent="0.25"/>
    <row r="2243" s="1" customFormat="1" x14ac:dyDescent="0.25"/>
    <row r="2244" s="1" customFormat="1" x14ac:dyDescent="0.25"/>
    <row r="2245" s="1" customFormat="1" x14ac:dyDescent="0.25"/>
    <row r="2246" s="1" customFormat="1" x14ac:dyDescent="0.25"/>
    <row r="2247" s="1" customFormat="1" x14ac:dyDescent="0.25"/>
    <row r="2248" s="1" customFormat="1" x14ac:dyDescent="0.25"/>
    <row r="2249" s="1" customFormat="1" x14ac:dyDescent="0.25"/>
    <row r="2250" s="1" customFormat="1" x14ac:dyDescent="0.25"/>
    <row r="2251" s="1" customFormat="1" x14ac:dyDescent="0.25"/>
    <row r="2252" s="1" customFormat="1" x14ac:dyDescent="0.25"/>
    <row r="2253" s="1" customFormat="1" x14ac:dyDescent="0.25"/>
    <row r="2254" s="1" customFormat="1" x14ac:dyDescent="0.25"/>
    <row r="2255" s="1" customFormat="1" x14ac:dyDescent="0.25"/>
    <row r="2256" s="1" customFormat="1" x14ac:dyDescent="0.25"/>
    <row r="2257" s="1" customFormat="1" x14ac:dyDescent="0.25"/>
    <row r="2258" s="1" customFormat="1" x14ac:dyDescent="0.25"/>
    <row r="2259" s="1" customFormat="1" x14ac:dyDescent="0.25"/>
    <row r="2260" s="1" customFormat="1" x14ac:dyDescent="0.25"/>
    <row r="2261" s="1" customFormat="1" x14ac:dyDescent="0.25"/>
    <row r="2262" s="1" customFormat="1" x14ac:dyDescent="0.25"/>
    <row r="2263" s="1" customFormat="1" x14ac:dyDescent="0.25"/>
    <row r="2264" s="1" customFormat="1" x14ac:dyDescent="0.25"/>
    <row r="2265" s="1" customFormat="1" x14ac:dyDescent="0.25"/>
    <row r="2266" s="1" customFormat="1" x14ac:dyDescent="0.25"/>
    <row r="2267" s="1" customFormat="1" x14ac:dyDescent="0.25"/>
    <row r="2268" s="1" customFormat="1" x14ac:dyDescent="0.25"/>
    <row r="2269" s="1" customFormat="1" x14ac:dyDescent="0.25"/>
    <row r="2270" s="1" customFormat="1" x14ac:dyDescent="0.25"/>
    <row r="2271" s="1" customFormat="1" x14ac:dyDescent="0.25"/>
    <row r="2272" s="1" customFormat="1" x14ac:dyDescent="0.25"/>
    <row r="2273" s="1" customFormat="1" x14ac:dyDescent="0.25"/>
    <row r="2274" s="1" customFormat="1" x14ac:dyDescent="0.25"/>
    <row r="2275" s="1" customFormat="1" x14ac:dyDescent="0.25"/>
    <row r="2276" s="1" customFormat="1" x14ac:dyDescent="0.25"/>
    <row r="2277" s="1" customFormat="1" x14ac:dyDescent="0.25"/>
    <row r="2278" s="1" customFormat="1" x14ac:dyDescent="0.25"/>
    <row r="2279" s="1" customFormat="1" x14ac:dyDescent="0.25"/>
    <row r="2280" s="1" customFormat="1" x14ac:dyDescent="0.25"/>
    <row r="2281" s="1" customFormat="1" x14ac:dyDescent="0.25"/>
    <row r="2282" s="1" customFormat="1" x14ac:dyDescent="0.25"/>
    <row r="2283" s="1" customFormat="1" x14ac:dyDescent="0.25"/>
    <row r="2284" s="1" customFormat="1" x14ac:dyDescent="0.25"/>
    <row r="2285" s="1" customFormat="1" x14ac:dyDescent="0.25"/>
    <row r="2286" s="1" customFormat="1" x14ac:dyDescent="0.25"/>
    <row r="2287" s="1" customFormat="1" x14ac:dyDescent="0.25"/>
    <row r="2288" s="1" customFormat="1" x14ac:dyDescent="0.25"/>
    <row r="2289" s="1" customFormat="1" x14ac:dyDescent="0.25"/>
    <row r="2290" s="1" customFormat="1" x14ac:dyDescent="0.25"/>
    <row r="2291" s="1" customFormat="1" x14ac:dyDescent="0.25"/>
    <row r="2292" s="1" customFormat="1" x14ac:dyDescent="0.25"/>
    <row r="2293" s="1" customFormat="1" x14ac:dyDescent="0.25"/>
    <row r="2294" s="1" customFormat="1" x14ac:dyDescent="0.25"/>
    <row r="2295" s="1" customFormat="1" x14ac:dyDescent="0.25"/>
    <row r="2296" s="1" customFormat="1" x14ac:dyDescent="0.25"/>
    <row r="2297" s="1" customFormat="1" x14ac:dyDescent="0.25"/>
    <row r="2298" s="1" customFormat="1" x14ac:dyDescent="0.25"/>
    <row r="2299" s="1" customFormat="1" x14ac:dyDescent="0.25"/>
    <row r="2300" s="1" customFormat="1" x14ac:dyDescent="0.25"/>
    <row r="2301" s="1" customFormat="1" x14ac:dyDescent="0.25"/>
    <row r="2302" s="1" customFormat="1" x14ac:dyDescent="0.25"/>
    <row r="2303" s="1" customFormat="1" x14ac:dyDescent="0.25"/>
    <row r="2304" s="1" customFormat="1" x14ac:dyDescent="0.25"/>
    <row r="2305" s="1" customFormat="1" x14ac:dyDescent="0.25"/>
    <row r="2306" s="1" customFormat="1" x14ac:dyDescent="0.25"/>
    <row r="2307" s="1" customFormat="1" x14ac:dyDescent="0.25"/>
    <row r="2308" s="1" customFormat="1" x14ac:dyDescent="0.25"/>
    <row r="2309" s="1" customFormat="1" x14ac:dyDescent="0.25"/>
    <row r="2310" s="1" customFormat="1" x14ac:dyDescent="0.25"/>
    <row r="2311" s="1" customFormat="1" x14ac:dyDescent="0.25"/>
    <row r="2312" s="1" customFormat="1" x14ac:dyDescent="0.25"/>
    <row r="2313" s="1" customFormat="1" x14ac:dyDescent="0.25"/>
    <row r="2314" s="1" customFormat="1" x14ac:dyDescent="0.25"/>
    <row r="2315" s="1" customFormat="1" x14ac:dyDescent="0.25"/>
    <row r="2316" s="1" customFormat="1" x14ac:dyDescent="0.25"/>
    <row r="2317" s="1" customFormat="1" x14ac:dyDescent="0.25"/>
    <row r="2318" s="1" customFormat="1" x14ac:dyDescent="0.25"/>
    <row r="2319" s="1" customFormat="1" x14ac:dyDescent="0.25"/>
    <row r="2320" s="1" customFormat="1" x14ac:dyDescent="0.25"/>
    <row r="2321" s="1" customFormat="1" x14ac:dyDescent="0.25"/>
    <row r="2322" s="1" customFormat="1" x14ac:dyDescent="0.25"/>
    <row r="2323" s="1" customFormat="1" x14ac:dyDescent="0.25"/>
    <row r="2324" s="1" customFormat="1" x14ac:dyDescent="0.25"/>
    <row r="2325" s="1" customFormat="1" x14ac:dyDescent="0.25"/>
    <row r="2326" s="1" customFormat="1" x14ac:dyDescent="0.25"/>
    <row r="2327" s="1" customFormat="1" x14ac:dyDescent="0.25"/>
    <row r="2328" s="1" customFormat="1" x14ac:dyDescent="0.25"/>
    <row r="2329" s="1" customFormat="1" x14ac:dyDescent="0.25"/>
    <row r="2330" s="1" customFormat="1" x14ac:dyDescent="0.25"/>
    <row r="2331" s="1" customFormat="1" x14ac:dyDescent="0.25"/>
    <row r="2332" s="1" customFormat="1" x14ac:dyDescent="0.25"/>
    <row r="2333" s="1" customFormat="1" x14ac:dyDescent="0.25"/>
    <row r="2334" s="1" customFormat="1" x14ac:dyDescent="0.25"/>
    <row r="2335" s="1" customFormat="1" x14ac:dyDescent="0.25"/>
    <row r="2336" s="1" customFormat="1" x14ac:dyDescent="0.25"/>
    <row r="2337" s="1" customFormat="1" x14ac:dyDescent="0.25"/>
    <row r="2338" s="1" customFormat="1" x14ac:dyDescent="0.25"/>
    <row r="2339" s="1" customFormat="1" x14ac:dyDescent="0.25"/>
    <row r="2340" s="1" customFormat="1" x14ac:dyDescent="0.25"/>
    <row r="2341" s="1" customFormat="1" x14ac:dyDescent="0.25"/>
    <row r="2342" s="1" customFormat="1" x14ac:dyDescent="0.25"/>
    <row r="2343" s="1" customFormat="1" x14ac:dyDescent="0.25"/>
    <row r="2344" s="1" customFormat="1" x14ac:dyDescent="0.25"/>
    <row r="2345" s="1" customFormat="1" x14ac:dyDescent="0.25"/>
    <row r="2346" s="1" customFormat="1" x14ac:dyDescent="0.25"/>
    <row r="2347" s="1" customFormat="1" x14ac:dyDescent="0.25"/>
    <row r="2348" s="1" customFormat="1" x14ac:dyDescent="0.25"/>
    <row r="2349" s="1" customFormat="1" x14ac:dyDescent="0.25"/>
    <row r="2350" s="1" customFormat="1" x14ac:dyDescent="0.25"/>
    <row r="2351" s="1" customFormat="1" x14ac:dyDescent="0.25"/>
    <row r="2352" s="1" customFormat="1" x14ac:dyDescent="0.25"/>
    <row r="2353" s="1" customFormat="1" x14ac:dyDescent="0.25"/>
    <row r="2354" s="1" customFormat="1" x14ac:dyDescent="0.25"/>
    <row r="2355" s="1" customFormat="1" x14ac:dyDescent="0.25"/>
    <row r="2356" s="1" customFormat="1" x14ac:dyDescent="0.25"/>
    <row r="2357" s="1" customFormat="1" x14ac:dyDescent="0.25"/>
    <row r="2358" s="1" customFormat="1" x14ac:dyDescent="0.25"/>
    <row r="2359" s="1" customFormat="1" x14ac:dyDescent="0.25"/>
    <row r="2360" s="1" customFormat="1" x14ac:dyDescent="0.25"/>
    <row r="2361" s="1" customFormat="1" x14ac:dyDescent="0.25"/>
    <row r="2362" s="1" customFormat="1" x14ac:dyDescent="0.25"/>
    <row r="2363" s="1" customFormat="1" x14ac:dyDescent="0.25"/>
    <row r="2364" s="1" customFormat="1" x14ac:dyDescent="0.25"/>
    <row r="2365" s="1" customFormat="1" x14ac:dyDescent="0.25"/>
    <row r="2366" s="1" customFormat="1" x14ac:dyDescent="0.25"/>
    <row r="2367" s="1" customFormat="1" x14ac:dyDescent="0.25"/>
    <row r="2368" s="1" customFormat="1" x14ac:dyDescent="0.25"/>
    <row r="2369" s="1" customFormat="1" x14ac:dyDescent="0.25"/>
    <row r="2370" s="1" customFormat="1" x14ac:dyDescent="0.25"/>
    <row r="2371" s="1" customFormat="1" x14ac:dyDescent="0.25"/>
    <row r="2372" s="1" customFormat="1" x14ac:dyDescent="0.25"/>
    <row r="2373" s="1" customFormat="1" x14ac:dyDescent="0.25"/>
    <row r="2374" s="1" customFormat="1" x14ac:dyDescent="0.25"/>
    <row r="2375" s="1" customFormat="1" x14ac:dyDescent="0.25"/>
    <row r="2376" s="1" customFormat="1" x14ac:dyDescent="0.25"/>
    <row r="2377" s="1" customFormat="1" x14ac:dyDescent="0.25"/>
    <row r="2378" s="1" customFormat="1" x14ac:dyDescent="0.25"/>
    <row r="2379" s="1" customFormat="1" x14ac:dyDescent="0.25"/>
    <row r="2380" s="1" customFormat="1" x14ac:dyDescent="0.25"/>
    <row r="2381" s="1" customFormat="1" x14ac:dyDescent="0.25"/>
    <row r="2382" s="1" customFormat="1" x14ac:dyDescent="0.25"/>
    <row r="2383" s="1" customFormat="1" x14ac:dyDescent="0.25"/>
    <row r="2384" s="1" customFormat="1" x14ac:dyDescent="0.25"/>
    <row r="2385" s="1" customFormat="1" x14ac:dyDescent="0.25"/>
    <row r="2386" s="1" customFormat="1" x14ac:dyDescent="0.25"/>
    <row r="2387" s="1" customFormat="1" x14ac:dyDescent="0.25"/>
    <row r="2388" s="1" customFormat="1" x14ac:dyDescent="0.25"/>
    <row r="2389" s="1" customFormat="1" x14ac:dyDescent="0.25"/>
    <row r="2390" s="1" customFormat="1" x14ac:dyDescent="0.25"/>
    <row r="2391" s="1" customFormat="1" x14ac:dyDescent="0.25"/>
    <row r="2392" s="1" customFormat="1" x14ac:dyDescent="0.25"/>
    <row r="2393" s="1" customFormat="1" x14ac:dyDescent="0.25"/>
    <row r="2394" s="1" customFormat="1" x14ac:dyDescent="0.25"/>
    <row r="2395" s="1" customFormat="1" x14ac:dyDescent="0.25"/>
    <row r="2396" s="1" customFormat="1" x14ac:dyDescent="0.25"/>
    <row r="2397" s="1" customFormat="1" x14ac:dyDescent="0.25"/>
    <row r="2398" s="1" customFormat="1" x14ac:dyDescent="0.25"/>
    <row r="2399" s="1" customFormat="1" x14ac:dyDescent="0.25"/>
    <row r="2400" s="1" customFormat="1" x14ac:dyDescent="0.25"/>
    <row r="2401" s="1" customFormat="1" x14ac:dyDescent="0.25"/>
    <row r="2402" s="1" customFormat="1" x14ac:dyDescent="0.25"/>
    <row r="2403" s="1" customFormat="1" x14ac:dyDescent="0.25"/>
    <row r="2404" s="1" customFormat="1" x14ac:dyDescent="0.25"/>
    <row r="2405" s="1" customFormat="1" x14ac:dyDescent="0.25"/>
    <row r="2406" s="1" customFormat="1" x14ac:dyDescent="0.25"/>
    <row r="2407" s="1" customFormat="1" x14ac:dyDescent="0.25"/>
    <row r="2408" s="1" customFormat="1" x14ac:dyDescent="0.25"/>
    <row r="2409" s="1" customFormat="1" x14ac:dyDescent="0.25"/>
    <row r="2410" s="1" customFormat="1" x14ac:dyDescent="0.25"/>
    <row r="2411" s="1" customFormat="1" x14ac:dyDescent="0.25"/>
    <row r="2412" s="1" customFormat="1" x14ac:dyDescent="0.25"/>
    <row r="2413" s="1" customFormat="1" x14ac:dyDescent="0.25"/>
    <row r="2414" s="1" customFormat="1" x14ac:dyDescent="0.25"/>
    <row r="2415" s="1" customFormat="1" x14ac:dyDescent="0.25"/>
    <row r="2416" s="1" customFormat="1" x14ac:dyDescent="0.25"/>
    <row r="2417" s="1" customFormat="1" x14ac:dyDescent="0.25"/>
    <row r="2418" s="1" customFormat="1" x14ac:dyDescent="0.25"/>
    <row r="2419" s="1" customFormat="1" x14ac:dyDescent="0.25"/>
    <row r="2420" s="1" customFormat="1" x14ac:dyDescent="0.25"/>
    <row r="2421" s="1" customFormat="1" x14ac:dyDescent="0.25"/>
    <row r="2422" s="1" customFormat="1" x14ac:dyDescent="0.25"/>
    <row r="2423" s="1" customFormat="1" x14ac:dyDescent="0.25"/>
    <row r="2424" s="1" customFormat="1" x14ac:dyDescent="0.25"/>
    <row r="2425" s="1" customFormat="1" x14ac:dyDescent="0.25"/>
    <row r="2426" s="1" customFormat="1" x14ac:dyDescent="0.25"/>
    <row r="2427" s="1" customFormat="1" x14ac:dyDescent="0.25"/>
    <row r="2428" s="1" customFormat="1" x14ac:dyDescent="0.25"/>
    <row r="2429" s="1" customFormat="1" x14ac:dyDescent="0.25"/>
    <row r="2430" s="1" customFormat="1" x14ac:dyDescent="0.25"/>
    <row r="2431" s="1" customFormat="1" x14ac:dyDescent="0.25"/>
    <row r="2432" s="1" customFormat="1" x14ac:dyDescent="0.25"/>
    <row r="2433" s="1" customFormat="1" x14ac:dyDescent="0.25"/>
    <row r="2434" s="1" customFormat="1" x14ac:dyDescent="0.25"/>
    <row r="2435" s="1" customFormat="1" x14ac:dyDescent="0.25"/>
    <row r="2436" s="1" customFormat="1" x14ac:dyDescent="0.25"/>
    <row r="2437" s="1" customFormat="1" x14ac:dyDescent="0.25"/>
    <row r="2438" s="1" customFormat="1" x14ac:dyDescent="0.25"/>
    <row r="2439" s="1" customFormat="1" x14ac:dyDescent="0.25"/>
    <row r="2440" s="1" customFormat="1" x14ac:dyDescent="0.25"/>
    <row r="2441" s="1" customFormat="1" x14ac:dyDescent="0.25"/>
    <row r="2442" s="1" customFormat="1" x14ac:dyDescent="0.25"/>
    <row r="2443" s="1" customFormat="1" x14ac:dyDescent="0.25"/>
    <row r="2444" s="1" customFormat="1" x14ac:dyDescent="0.25"/>
    <row r="2445" s="1" customFormat="1" x14ac:dyDescent="0.25"/>
    <row r="2446" s="1" customFormat="1" x14ac:dyDescent="0.25"/>
    <row r="2447" s="1" customFormat="1" x14ac:dyDescent="0.25"/>
    <row r="2448" s="1" customFormat="1" x14ac:dyDescent="0.25"/>
    <row r="2449" s="1" customFormat="1" x14ac:dyDescent="0.25"/>
    <row r="2450" s="1" customFormat="1" x14ac:dyDescent="0.25"/>
    <row r="2451" s="1" customFormat="1" x14ac:dyDescent="0.25"/>
    <row r="2452" s="1" customFormat="1" x14ac:dyDescent="0.25"/>
    <row r="2453" s="1" customFormat="1" x14ac:dyDescent="0.25"/>
    <row r="2454" s="1" customFormat="1" x14ac:dyDescent="0.25"/>
    <row r="2455" s="1" customFormat="1" x14ac:dyDescent="0.25"/>
    <row r="2456" s="1" customFormat="1" x14ac:dyDescent="0.25"/>
    <row r="2457" s="1" customFormat="1" x14ac:dyDescent="0.25"/>
    <row r="2458" s="1" customFormat="1" x14ac:dyDescent="0.25"/>
    <row r="2459" s="1" customFormat="1" x14ac:dyDescent="0.25"/>
    <row r="2460" s="1" customFormat="1" x14ac:dyDescent="0.25"/>
    <row r="2461" s="1" customFormat="1" x14ac:dyDescent="0.25"/>
    <row r="2462" s="1" customFormat="1" x14ac:dyDescent="0.25"/>
    <row r="2463" s="1" customFormat="1" x14ac:dyDescent="0.25"/>
    <row r="2464" s="1" customFormat="1" x14ac:dyDescent="0.25"/>
    <row r="2465" s="1" customFormat="1" x14ac:dyDescent="0.25"/>
    <row r="2466" s="1" customFormat="1" x14ac:dyDescent="0.25"/>
    <row r="2467" s="1" customFormat="1" x14ac:dyDescent="0.25"/>
    <row r="2468" s="1" customFormat="1" x14ac:dyDescent="0.25"/>
    <row r="2469" s="1" customFormat="1" x14ac:dyDescent="0.25"/>
    <row r="2470" s="1" customFormat="1" x14ac:dyDescent="0.25"/>
    <row r="2471" s="1" customFormat="1" x14ac:dyDescent="0.25"/>
    <row r="2472" s="1" customFormat="1" x14ac:dyDescent="0.25"/>
    <row r="2473" s="1" customFormat="1" x14ac:dyDescent="0.25"/>
    <row r="2474" s="1" customFormat="1" x14ac:dyDescent="0.25"/>
    <row r="2475" s="1" customFormat="1" x14ac:dyDescent="0.25"/>
    <row r="2476" s="1" customFormat="1" x14ac:dyDescent="0.25"/>
    <row r="2477" s="1" customFormat="1" x14ac:dyDescent="0.25"/>
    <row r="2478" s="1" customFormat="1" x14ac:dyDescent="0.25"/>
    <row r="2479" s="1" customFormat="1" x14ac:dyDescent="0.25"/>
    <row r="2480" s="1" customFormat="1" x14ac:dyDescent="0.25"/>
    <row r="2481" s="1" customFormat="1" x14ac:dyDescent="0.25"/>
    <row r="2482" s="1" customFormat="1" x14ac:dyDescent="0.25"/>
    <row r="2483" s="1" customFormat="1" x14ac:dyDescent="0.25"/>
    <row r="2484" s="1" customFormat="1" x14ac:dyDescent="0.25"/>
    <row r="2485" s="1" customFormat="1" x14ac:dyDescent="0.25"/>
    <row r="2486" s="1" customFormat="1" x14ac:dyDescent="0.25"/>
    <row r="2487" s="1" customFormat="1" x14ac:dyDescent="0.25"/>
    <row r="2488" s="1" customFormat="1" x14ac:dyDescent="0.25"/>
    <row r="2489" s="1" customFormat="1" x14ac:dyDescent="0.25"/>
    <row r="2490" s="1" customFormat="1" x14ac:dyDescent="0.25"/>
    <row r="2491" s="1" customFormat="1" x14ac:dyDescent="0.25"/>
    <row r="2492" s="1" customFormat="1" x14ac:dyDescent="0.25"/>
    <row r="2493" s="1" customFormat="1" x14ac:dyDescent="0.25"/>
    <row r="2494" s="1" customFormat="1" x14ac:dyDescent="0.25"/>
    <row r="2495" s="1" customFormat="1" x14ac:dyDescent="0.25"/>
    <row r="2496" s="1" customFormat="1" x14ac:dyDescent="0.25"/>
    <row r="2497" s="1" customFormat="1" x14ac:dyDescent="0.25"/>
    <row r="2498" s="1" customFormat="1" x14ac:dyDescent="0.25"/>
    <row r="2499" s="1" customFormat="1" x14ac:dyDescent="0.25"/>
    <row r="2500" s="1" customFormat="1" x14ac:dyDescent="0.25"/>
    <row r="2501" s="1" customFormat="1" x14ac:dyDescent="0.25"/>
    <row r="2502" s="1" customFormat="1" x14ac:dyDescent="0.25"/>
    <row r="2503" s="1" customFormat="1" x14ac:dyDescent="0.25"/>
    <row r="2504" s="1" customFormat="1" x14ac:dyDescent="0.25"/>
    <row r="2505" s="1" customFormat="1" x14ac:dyDescent="0.25"/>
    <row r="2506" s="1" customFormat="1" x14ac:dyDescent="0.25"/>
    <row r="2507" s="1" customFormat="1" x14ac:dyDescent="0.25"/>
    <row r="2508" s="1" customFormat="1" x14ac:dyDescent="0.25"/>
    <row r="2509" s="1" customFormat="1" x14ac:dyDescent="0.25"/>
    <row r="2510" s="1" customFormat="1" x14ac:dyDescent="0.25"/>
    <row r="2511" s="1" customFormat="1" x14ac:dyDescent="0.25"/>
    <row r="2512" s="1" customFormat="1" x14ac:dyDescent="0.25"/>
    <row r="2513" s="1" customFormat="1" x14ac:dyDescent="0.25"/>
    <row r="2514" s="1" customFormat="1" x14ac:dyDescent="0.25"/>
    <row r="2515" s="1" customFormat="1" x14ac:dyDescent="0.25"/>
    <row r="2516" s="1" customFormat="1" x14ac:dyDescent="0.25"/>
    <row r="2517" s="1" customFormat="1" x14ac:dyDescent="0.25"/>
    <row r="2518" s="1" customFormat="1" x14ac:dyDescent="0.25"/>
    <row r="2519" s="1" customFormat="1" x14ac:dyDescent="0.25"/>
    <row r="2520" s="1" customFormat="1" x14ac:dyDescent="0.25"/>
    <row r="2521" s="1" customFormat="1" x14ac:dyDescent="0.25"/>
    <row r="2522" s="1" customFormat="1" x14ac:dyDescent="0.25"/>
    <row r="2523" s="1" customFormat="1" x14ac:dyDescent="0.25"/>
    <row r="2524" s="1" customFormat="1" x14ac:dyDescent="0.25"/>
    <row r="2525" s="1" customFormat="1" x14ac:dyDescent="0.25"/>
    <row r="2526" s="1" customFormat="1" x14ac:dyDescent="0.25"/>
    <row r="2527" s="1" customFormat="1" x14ac:dyDescent="0.25"/>
    <row r="2528" s="1" customFormat="1" x14ac:dyDescent="0.25"/>
    <row r="2529" s="1" customFormat="1" x14ac:dyDescent="0.25"/>
    <row r="2530" s="1" customFormat="1" x14ac:dyDescent="0.25"/>
    <row r="2531" s="1" customFormat="1" x14ac:dyDescent="0.25"/>
    <row r="2532" s="1" customFormat="1" x14ac:dyDescent="0.25"/>
    <row r="2533" s="1" customFormat="1" x14ac:dyDescent="0.25"/>
    <row r="2534" s="1" customFormat="1" x14ac:dyDescent="0.25"/>
    <row r="2535" s="1" customFormat="1" x14ac:dyDescent="0.25"/>
    <row r="2536" s="1" customFormat="1" x14ac:dyDescent="0.25"/>
    <row r="2537" s="1" customFormat="1" x14ac:dyDescent="0.25"/>
    <row r="2538" s="1" customFormat="1" x14ac:dyDescent="0.25"/>
    <row r="2539" s="1" customFormat="1" x14ac:dyDescent="0.25"/>
    <row r="2540" s="1" customFormat="1" x14ac:dyDescent="0.25"/>
    <row r="2541" s="1" customFormat="1" x14ac:dyDescent="0.25"/>
    <row r="2542" s="1" customFormat="1" x14ac:dyDescent="0.25"/>
    <row r="2543" s="1" customFormat="1" x14ac:dyDescent="0.25"/>
    <row r="2544" s="1" customFormat="1" x14ac:dyDescent="0.25"/>
    <row r="2545" s="1" customFormat="1" x14ac:dyDescent="0.25"/>
    <row r="2546" s="1" customFormat="1" x14ac:dyDescent="0.25"/>
    <row r="2547" s="1" customFormat="1" x14ac:dyDescent="0.25"/>
    <row r="2548" s="1" customFormat="1" x14ac:dyDescent="0.25"/>
    <row r="2549" s="1" customFormat="1" x14ac:dyDescent="0.25"/>
    <row r="2550" s="1" customFormat="1" x14ac:dyDescent="0.25"/>
    <row r="2551" s="1" customFormat="1" x14ac:dyDescent="0.25"/>
    <row r="2552" s="1" customFormat="1" x14ac:dyDescent="0.25"/>
    <row r="2553" s="1" customFormat="1" x14ac:dyDescent="0.25"/>
    <row r="2554" s="1" customFormat="1" x14ac:dyDescent="0.25"/>
    <row r="2555" s="1" customFormat="1" x14ac:dyDescent="0.25"/>
    <row r="2556" s="1" customFormat="1" x14ac:dyDescent="0.25"/>
    <row r="2557" s="1" customFormat="1" x14ac:dyDescent="0.25"/>
    <row r="2558" s="1" customFormat="1" x14ac:dyDescent="0.25"/>
    <row r="2559" s="1" customFormat="1" x14ac:dyDescent="0.25"/>
    <row r="2560" s="1" customFormat="1" x14ac:dyDescent="0.25"/>
    <row r="2561" s="1" customFormat="1" x14ac:dyDescent="0.25"/>
    <row r="2562" s="1" customFormat="1" x14ac:dyDescent="0.25"/>
    <row r="2563" s="1" customFormat="1" x14ac:dyDescent="0.25"/>
    <row r="2564" s="1" customFormat="1" x14ac:dyDescent="0.25"/>
    <row r="2565" s="1" customFormat="1" x14ac:dyDescent="0.25"/>
    <row r="2566" s="1" customFormat="1" x14ac:dyDescent="0.25"/>
    <row r="2567" s="1" customFormat="1" x14ac:dyDescent="0.25"/>
    <row r="2568" s="1" customFormat="1" x14ac:dyDescent="0.25"/>
    <row r="2569" s="1" customFormat="1" x14ac:dyDescent="0.25"/>
    <row r="2570" s="1" customFormat="1" x14ac:dyDescent="0.25"/>
    <row r="2571" s="1" customFormat="1" x14ac:dyDescent="0.25"/>
    <row r="2572" s="1" customFormat="1" x14ac:dyDescent="0.25"/>
    <row r="2573" s="1" customFormat="1" x14ac:dyDescent="0.25"/>
    <row r="2574" s="1" customFormat="1" x14ac:dyDescent="0.25"/>
    <row r="2575" s="1" customFormat="1" x14ac:dyDescent="0.25"/>
    <row r="2576" s="1" customFormat="1" x14ac:dyDescent="0.25"/>
    <row r="2577" s="1" customFormat="1" x14ac:dyDescent="0.25"/>
    <row r="2578" s="1" customFormat="1" x14ac:dyDescent="0.25"/>
    <row r="2579" s="1" customFormat="1" x14ac:dyDescent="0.25"/>
    <row r="2580" s="1" customFormat="1" x14ac:dyDescent="0.25"/>
    <row r="2581" s="1" customFormat="1" x14ac:dyDescent="0.25"/>
    <row r="2582" s="1" customFormat="1" x14ac:dyDescent="0.25"/>
    <row r="2583" s="1" customFormat="1" x14ac:dyDescent="0.25"/>
    <row r="2584" s="1" customFormat="1" x14ac:dyDescent="0.25"/>
    <row r="2585" s="1" customFormat="1" x14ac:dyDescent="0.25"/>
    <row r="2586" s="1" customFormat="1" x14ac:dyDescent="0.25"/>
    <row r="2587" s="1" customFormat="1" x14ac:dyDescent="0.25"/>
    <row r="2588" s="1" customFormat="1" x14ac:dyDescent="0.25"/>
    <row r="2589" s="1" customFormat="1" x14ac:dyDescent="0.25"/>
    <row r="2590" s="1" customFormat="1" x14ac:dyDescent="0.25"/>
    <row r="2591" s="1" customFormat="1" x14ac:dyDescent="0.25"/>
    <row r="2592" s="1" customFormat="1" x14ac:dyDescent="0.25"/>
    <row r="2593" s="1" customFormat="1" x14ac:dyDescent="0.25"/>
    <row r="2594" s="1" customFormat="1" x14ac:dyDescent="0.25"/>
    <row r="2595" s="1" customFormat="1" x14ac:dyDescent="0.25"/>
    <row r="2596" s="1" customFormat="1" x14ac:dyDescent="0.25"/>
    <row r="2597" s="1" customFormat="1" x14ac:dyDescent="0.25"/>
    <row r="2598" s="1" customFormat="1" x14ac:dyDescent="0.25"/>
    <row r="2599" s="1" customFormat="1" x14ac:dyDescent="0.25"/>
    <row r="2600" s="1" customFormat="1" x14ac:dyDescent="0.25"/>
    <row r="2601" s="1" customFormat="1" x14ac:dyDescent="0.25"/>
    <row r="2602" s="1" customFormat="1" x14ac:dyDescent="0.25"/>
    <row r="2603" s="1" customFormat="1" x14ac:dyDescent="0.25"/>
    <row r="2604" s="1" customFormat="1" x14ac:dyDescent="0.25"/>
    <row r="2605" s="1" customFormat="1" x14ac:dyDescent="0.25"/>
    <row r="2606" s="1" customFormat="1" x14ac:dyDescent="0.25"/>
    <row r="2607" s="1" customFormat="1" x14ac:dyDescent="0.25"/>
    <row r="2608" s="1" customFormat="1" x14ac:dyDescent="0.25"/>
    <row r="2609" s="1" customFormat="1" x14ac:dyDescent="0.25"/>
    <row r="2610" s="1" customFormat="1" x14ac:dyDescent="0.25"/>
    <row r="2611" s="1" customFormat="1" x14ac:dyDescent="0.25"/>
    <row r="2612" s="1" customFormat="1" x14ac:dyDescent="0.25"/>
    <row r="2613" s="1" customFormat="1" x14ac:dyDescent="0.25"/>
    <row r="2614" s="1" customFormat="1" x14ac:dyDescent="0.25"/>
    <row r="2615" s="1" customFormat="1" x14ac:dyDescent="0.25"/>
    <row r="2616" s="1" customFormat="1" x14ac:dyDescent="0.25"/>
    <row r="2617" s="1" customFormat="1" x14ac:dyDescent="0.25"/>
    <row r="2618" s="1" customFormat="1" x14ac:dyDescent="0.25"/>
    <row r="2619" s="1" customFormat="1" x14ac:dyDescent="0.25"/>
    <row r="2620" s="1" customFormat="1" x14ac:dyDescent="0.25"/>
    <row r="2621" s="1" customFormat="1" x14ac:dyDescent="0.25"/>
    <row r="2622" s="1" customFormat="1" x14ac:dyDescent="0.25"/>
    <row r="2623" s="1" customFormat="1" x14ac:dyDescent="0.25"/>
    <row r="2624" s="1" customFormat="1" x14ac:dyDescent="0.25"/>
    <row r="2625" s="1" customFormat="1" x14ac:dyDescent="0.25"/>
    <row r="2626" s="1" customFormat="1" x14ac:dyDescent="0.25"/>
    <row r="2627" s="1" customFormat="1" x14ac:dyDescent="0.25"/>
    <row r="2628" s="1" customFormat="1" x14ac:dyDescent="0.25"/>
    <row r="2629" s="1" customFormat="1" x14ac:dyDescent="0.25"/>
    <row r="2630" s="1" customFormat="1" x14ac:dyDescent="0.25"/>
    <row r="2631" s="1" customFormat="1" x14ac:dyDescent="0.25"/>
    <row r="2632" s="1" customFormat="1" x14ac:dyDescent="0.25"/>
    <row r="2633" s="1" customFormat="1" x14ac:dyDescent="0.25"/>
    <row r="2634" s="1" customFormat="1" x14ac:dyDescent="0.25"/>
    <row r="2635" s="1" customFormat="1" x14ac:dyDescent="0.25"/>
    <row r="2636" s="1" customFormat="1" x14ac:dyDescent="0.25"/>
    <row r="2637" s="1" customFormat="1" x14ac:dyDescent="0.25"/>
    <row r="2638" s="1" customFormat="1" x14ac:dyDescent="0.25"/>
    <row r="2639" s="1" customFormat="1" x14ac:dyDescent="0.25"/>
    <row r="2640" s="1" customFormat="1" x14ac:dyDescent="0.25"/>
    <row r="2641" s="1" customFormat="1" x14ac:dyDescent="0.25"/>
    <row r="2642" s="1" customFormat="1" x14ac:dyDescent="0.25"/>
    <row r="2643" s="1" customFormat="1" x14ac:dyDescent="0.25"/>
    <row r="2644" s="1" customFormat="1" x14ac:dyDescent="0.25"/>
    <row r="2645" s="1" customFormat="1" x14ac:dyDescent="0.25"/>
    <row r="2646" s="1" customFormat="1" x14ac:dyDescent="0.25"/>
    <row r="2647" s="1" customFormat="1" x14ac:dyDescent="0.25"/>
    <row r="2648" s="1" customFormat="1" x14ac:dyDescent="0.25"/>
    <row r="2649" s="1" customFormat="1" x14ac:dyDescent="0.25"/>
    <row r="2650" s="1" customFormat="1" x14ac:dyDescent="0.25"/>
    <row r="2651" s="1" customFormat="1" x14ac:dyDescent="0.25"/>
    <row r="2652" s="1" customFormat="1" x14ac:dyDescent="0.25"/>
    <row r="2653" s="1" customFormat="1" x14ac:dyDescent="0.25"/>
    <row r="2654" s="1" customFormat="1" x14ac:dyDescent="0.25"/>
    <row r="2655" s="1" customFormat="1" x14ac:dyDescent="0.25"/>
    <row r="2656" s="1" customFormat="1" x14ac:dyDescent="0.25"/>
    <row r="2657" s="1" customFormat="1" x14ac:dyDescent="0.25"/>
    <row r="2658" s="1" customFormat="1" x14ac:dyDescent="0.25"/>
    <row r="2659" s="1" customFormat="1" x14ac:dyDescent="0.25"/>
    <row r="2660" s="1" customFormat="1" x14ac:dyDescent="0.25"/>
    <row r="2661" s="1" customFormat="1" x14ac:dyDescent="0.25"/>
    <row r="2662" s="1" customFormat="1" x14ac:dyDescent="0.25"/>
    <row r="2663" s="1" customFormat="1" x14ac:dyDescent="0.25"/>
    <row r="2664" s="1" customFormat="1" x14ac:dyDescent="0.25"/>
    <row r="2665" s="1" customFormat="1" x14ac:dyDescent="0.25"/>
    <row r="2666" s="1" customFormat="1" x14ac:dyDescent="0.25"/>
    <row r="2667" s="1" customFormat="1" x14ac:dyDescent="0.25"/>
    <row r="2668" s="1" customFormat="1" x14ac:dyDescent="0.25"/>
    <row r="2669" s="1" customFormat="1" x14ac:dyDescent="0.25"/>
    <row r="2670" s="1" customFormat="1" x14ac:dyDescent="0.25"/>
    <row r="2671" s="1" customFormat="1" x14ac:dyDescent="0.25"/>
    <row r="2672" s="1" customFormat="1" x14ac:dyDescent="0.25"/>
    <row r="2673" s="1" customFormat="1" x14ac:dyDescent="0.25"/>
    <row r="2674" s="1" customFormat="1" x14ac:dyDescent="0.25"/>
    <row r="2675" s="1" customFormat="1" x14ac:dyDescent="0.25"/>
    <row r="2676" s="1" customFormat="1" x14ac:dyDescent="0.25"/>
    <row r="2677" s="1" customFormat="1" x14ac:dyDescent="0.25"/>
    <row r="2678" s="1" customFormat="1" x14ac:dyDescent="0.25"/>
    <row r="2679" s="1" customFormat="1" x14ac:dyDescent="0.25"/>
    <row r="2680" s="1" customFormat="1" x14ac:dyDescent="0.25"/>
    <row r="2681" s="1" customFormat="1" x14ac:dyDescent="0.25"/>
    <row r="2682" s="1" customFormat="1" x14ac:dyDescent="0.25"/>
    <row r="2683" s="1" customFormat="1" x14ac:dyDescent="0.25"/>
    <row r="2684" s="1" customFormat="1" x14ac:dyDescent="0.25"/>
    <row r="2685" s="1" customFormat="1" x14ac:dyDescent="0.25"/>
    <row r="2686" s="1" customFormat="1" x14ac:dyDescent="0.25"/>
    <row r="2687" s="1" customFormat="1" x14ac:dyDescent="0.25"/>
    <row r="2688" s="1" customFormat="1" x14ac:dyDescent="0.25"/>
    <row r="2689" s="1" customFormat="1" x14ac:dyDescent="0.25"/>
    <row r="2690" s="1" customFormat="1" x14ac:dyDescent="0.25"/>
    <row r="2691" s="1" customFormat="1" x14ac:dyDescent="0.25"/>
    <row r="2692" s="1" customFormat="1" x14ac:dyDescent="0.25"/>
    <row r="2693" s="1" customFormat="1" x14ac:dyDescent="0.25"/>
    <row r="2694" s="1" customFormat="1" x14ac:dyDescent="0.25"/>
    <row r="2695" s="1" customFormat="1" x14ac:dyDescent="0.25"/>
    <row r="2696" s="1" customFormat="1" x14ac:dyDescent="0.25"/>
    <row r="2697" s="1" customFormat="1" x14ac:dyDescent="0.25"/>
    <row r="2698" s="1" customFormat="1" x14ac:dyDescent="0.25"/>
    <row r="2699" s="1" customFormat="1" x14ac:dyDescent="0.25"/>
    <row r="2700" s="1" customFormat="1" x14ac:dyDescent="0.25"/>
    <row r="2701" s="1" customFormat="1" x14ac:dyDescent="0.25"/>
    <row r="2702" s="1" customFormat="1" x14ac:dyDescent="0.25"/>
    <row r="2703" s="1" customFormat="1" x14ac:dyDescent="0.25"/>
    <row r="2704" s="1" customFormat="1" x14ac:dyDescent="0.25"/>
    <row r="2705" s="1" customFormat="1" x14ac:dyDescent="0.25"/>
    <row r="2706" s="1" customFormat="1" x14ac:dyDescent="0.25"/>
    <row r="2707" s="1" customFormat="1" x14ac:dyDescent="0.25"/>
    <row r="2708" s="1" customFormat="1" x14ac:dyDescent="0.25"/>
    <row r="2709" s="1" customFormat="1" x14ac:dyDescent="0.25"/>
    <row r="2710" s="1" customFormat="1" x14ac:dyDescent="0.25"/>
    <row r="2711" s="1" customFormat="1" x14ac:dyDescent="0.25"/>
    <row r="2712" s="1" customFormat="1" x14ac:dyDescent="0.25"/>
    <row r="2713" s="1" customFormat="1" x14ac:dyDescent="0.25"/>
    <row r="2714" s="1" customFormat="1" x14ac:dyDescent="0.25"/>
    <row r="2715" s="1" customFormat="1" x14ac:dyDescent="0.25"/>
    <row r="2716" s="1" customFormat="1" x14ac:dyDescent="0.25"/>
    <row r="2717" s="1" customFormat="1" x14ac:dyDescent="0.25"/>
    <row r="2718" s="1" customFormat="1" x14ac:dyDescent="0.25"/>
    <row r="2719" s="1" customFormat="1" x14ac:dyDescent="0.25"/>
    <row r="2720" s="1" customFormat="1" x14ac:dyDescent="0.25"/>
    <row r="2721" s="1" customFormat="1" x14ac:dyDescent="0.25"/>
    <row r="2722" s="1" customFormat="1" x14ac:dyDescent="0.25"/>
    <row r="2723" s="1" customFormat="1" x14ac:dyDescent="0.25"/>
    <row r="2724" s="1" customFormat="1" x14ac:dyDescent="0.25"/>
    <row r="2725" s="1" customFormat="1" x14ac:dyDescent="0.25"/>
    <row r="2726" s="1" customFormat="1" x14ac:dyDescent="0.25"/>
    <row r="2727" s="1" customFormat="1" x14ac:dyDescent="0.25"/>
    <row r="2728" s="1" customFormat="1" x14ac:dyDescent="0.25"/>
    <row r="2729" s="1" customFormat="1" x14ac:dyDescent="0.25"/>
    <row r="2730" s="1" customFormat="1" x14ac:dyDescent="0.25"/>
    <row r="2731" s="1" customFormat="1" x14ac:dyDescent="0.25"/>
    <row r="2732" s="1" customFormat="1" x14ac:dyDescent="0.25"/>
    <row r="2733" s="1" customFormat="1" x14ac:dyDescent="0.25"/>
    <row r="2734" s="1" customFormat="1" x14ac:dyDescent="0.25"/>
    <row r="2735" s="1" customFormat="1" x14ac:dyDescent="0.25"/>
    <row r="2736" s="1" customFormat="1" x14ac:dyDescent="0.25"/>
    <row r="2737" s="1" customFormat="1" x14ac:dyDescent="0.25"/>
    <row r="2738" s="1" customFormat="1" x14ac:dyDescent="0.25"/>
    <row r="2739" s="1" customFormat="1" x14ac:dyDescent="0.25"/>
    <row r="2740" s="1" customFormat="1" x14ac:dyDescent="0.25"/>
    <row r="2741" s="1" customFormat="1" x14ac:dyDescent="0.25"/>
    <row r="2742" s="1" customFormat="1" x14ac:dyDescent="0.25"/>
    <row r="2743" s="1" customFormat="1" x14ac:dyDescent="0.25"/>
    <row r="2744" s="1" customFormat="1" x14ac:dyDescent="0.25"/>
    <row r="2745" s="1" customFormat="1" x14ac:dyDescent="0.25"/>
    <row r="2746" s="1" customFormat="1" x14ac:dyDescent="0.25"/>
    <row r="2747" s="1" customFormat="1" x14ac:dyDescent="0.25"/>
    <row r="2748" s="1" customFormat="1" x14ac:dyDescent="0.25"/>
    <row r="2749" s="1" customFormat="1" x14ac:dyDescent="0.25"/>
    <row r="2750" s="1" customFormat="1" x14ac:dyDescent="0.25"/>
    <row r="2751" s="1" customFormat="1" x14ac:dyDescent="0.25"/>
    <row r="2752" s="1" customFormat="1" x14ac:dyDescent="0.25"/>
    <row r="2753" s="1" customFormat="1" x14ac:dyDescent="0.25"/>
    <row r="2754" s="1" customFormat="1" x14ac:dyDescent="0.25"/>
    <row r="2755" s="1" customFormat="1" x14ac:dyDescent="0.25"/>
    <row r="2756" s="1" customFormat="1" x14ac:dyDescent="0.25"/>
    <row r="2757" s="1" customFormat="1" x14ac:dyDescent="0.25"/>
    <row r="2758" s="1" customFormat="1" x14ac:dyDescent="0.25"/>
    <row r="2759" s="1" customFormat="1" x14ac:dyDescent="0.25"/>
    <row r="2760" s="1" customFormat="1" x14ac:dyDescent="0.25"/>
    <row r="2761" s="1" customFormat="1" x14ac:dyDescent="0.25"/>
    <row r="2762" s="1" customFormat="1" x14ac:dyDescent="0.25"/>
    <row r="2763" s="1" customFormat="1" x14ac:dyDescent="0.25"/>
    <row r="2764" s="1" customFormat="1" x14ac:dyDescent="0.25"/>
    <row r="2765" s="1" customFormat="1" x14ac:dyDescent="0.25"/>
    <row r="2766" s="1" customFormat="1" x14ac:dyDescent="0.25"/>
    <row r="2767" s="1" customFormat="1" x14ac:dyDescent="0.25"/>
    <row r="2768" s="1" customFormat="1" x14ac:dyDescent="0.25"/>
    <row r="2769" s="1" customFormat="1" x14ac:dyDescent="0.25"/>
    <row r="2770" s="1" customFormat="1" x14ac:dyDescent="0.25"/>
    <row r="2771" s="1" customFormat="1" x14ac:dyDescent="0.25"/>
    <row r="2772" s="1" customFormat="1" x14ac:dyDescent="0.25"/>
    <row r="2773" s="1" customFormat="1" x14ac:dyDescent="0.25"/>
    <row r="2774" s="1" customFormat="1" x14ac:dyDescent="0.25"/>
    <row r="2775" s="1" customFormat="1" x14ac:dyDescent="0.25"/>
    <row r="2776" s="1" customFormat="1" x14ac:dyDescent="0.25"/>
    <row r="2777" s="1" customFormat="1" x14ac:dyDescent="0.25"/>
    <row r="2778" s="1" customFormat="1" x14ac:dyDescent="0.25"/>
    <row r="2779" s="1" customFormat="1" x14ac:dyDescent="0.25"/>
    <row r="2780" s="1" customFormat="1" x14ac:dyDescent="0.25"/>
    <row r="2781" s="1" customFormat="1" x14ac:dyDescent="0.25"/>
    <row r="2782" s="1" customFormat="1" x14ac:dyDescent="0.25"/>
    <row r="2783" s="1" customFormat="1" x14ac:dyDescent="0.25"/>
    <row r="2784" s="1" customFormat="1" x14ac:dyDescent="0.25"/>
    <row r="2785" s="1" customFormat="1" x14ac:dyDescent="0.25"/>
    <row r="2786" s="1" customFormat="1" x14ac:dyDescent="0.25"/>
    <row r="2787" s="1" customFormat="1" x14ac:dyDescent="0.25"/>
    <row r="2788" s="1" customFormat="1" x14ac:dyDescent="0.25"/>
    <row r="2789" s="1" customFormat="1" x14ac:dyDescent="0.25"/>
    <row r="2790" s="1" customFormat="1" x14ac:dyDescent="0.25"/>
    <row r="2791" s="1" customFormat="1" x14ac:dyDescent="0.25"/>
    <row r="2792" s="1" customFormat="1" x14ac:dyDescent="0.25"/>
    <row r="2793" s="1" customFormat="1" x14ac:dyDescent="0.25"/>
    <row r="2794" s="1" customFormat="1" x14ac:dyDescent="0.25"/>
    <row r="2795" s="1" customFormat="1" x14ac:dyDescent="0.25"/>
    <row r="2796" s="1" customFormat="1" x14ac:dyDescent="0.25"/>
    <row r="2797" s="1" customFormat="1" x14ac:dyDescent="0.25"/>
    <row r="2798" s="1" customFormat="1" x14ac:dyDescent="0.25"/>
    <row r="2799" s="1" customFormat="1" x14ac:dyDescent="0.25"/>
    <row r="2800" s="1" customFormat="1" x14ac:dyDescent="0.25"/>
    <row r="2801" s="1" customFormat="1" x14ac:dyDescent="0.25"/>
    <row r="2802" s="1" customFormat="1" x14ac:dyDescent="0.25"/>
    <row r="2803" s="1" customFormat="1" x14ac:dyDescent="0.25"/>
    <row r="2804" s="1" customFormat="1" x14ac:dyDescent="0.25"/>
    <row r="2805" s="1" customFormat="1" x14ac:dyDescent="0.25"/>
    <row r="2806" s="1" customFormat="1" x14ac:dyDescent="0.25"/>
    <row r="2807" s="1" customFormat="1" x14ac:dyDescent="0.25"/>
    <row r="2808" s="1" customFormat="1" x14ac:dyDescent="0.25"/>
    <row r="2809" s="1" customFormat="1" x14ac:dyDescent="0.25"/>
    <row r="2810" s="1" customFormat="1" x14ac:dyDescent="0.25"/>
    <row r="2811" s="1" customFormat="1" x14ac:dyDescent="0.25"/>
    <row r="2812" s="1" customFormat="1" x14ac:dyDescent="0.25"/>
    <row r="2813" s="1" customFormat="1" x14ac:dyDescent="0.25"/>
    <row r="2814" s="1" customFormat="1" x14ac:dyDescent="0.25"/>
    <row r="2815" s="1" customFormat="1" x14ac:dyDescent="0.25"/>
    <row r="2816" s="1" customFormat="1" x14ac:dyDescent="0.25"/>
    <row r="2817" s="1" customFormat="1" x14ac:dyDescent="0.25"/>
    <row r="2818" s="1" customFormat="1" x14ac:dyDescent="0.25"/>
    <row r="2819" s="1" customFormat="1" x14ac:dyDescent="0.25"/>
    <row r="2820" s="1" customFormat="1" x14ac:dyDescent="0.25"/>
    <row r="2821" s="1" customFormat="1" x14ac:dyDescent="0.25"/>
    <row r="2822" s="1" customFormat="1" x14ac:dyDescent="0.25"/>
    <row r="2823" s="1" customFormat="1" x14ac:dyDescent="0.25"/>
    <row r="2824" s="1" customFormat="1" x14ac:dyDescent="0.25"/>
    <row r="2825" s="1" customFormat="1" x14ac:dyDescent="0.25"/>
    <row r="2826" s="1" customFormat="1" x14ac:dyDescent="0.25"/>
    <row r="2827" s="1" customFormat="1" x14ac:dyDescent="0.25"/>
    <row r="2828" s="1" customFormat="1" x14ac:dyDescent="0.25"/>
    <row r="2829" s="1" customFormat="1" x14ac:dyDescent="0.25"/>
    <row r="2830" s="1" customFormat="1" x14ac:dyDescent="0.25"/>
    <row r="2831" s="1" customFormat="1" x14ac:dyDescent="0.25"/>
    <row r="2832" s="1" customFormat="1" x14ac:dyDescent="0.25"/>
    <row r="2833" s="1" customFormat="1" x14ac:dyDescent="0.25"/>
    <row r="2834" s="1" customFormat="1" x14ac:dyDescent="0.25"/>
    <row r="2835" s="1" customFormat="1" x14ac:dyDescent="0.25"/>
    <row r="2836" s="1" customFormat="1" x14ac:dyDescent="0.25"/>
    <row r="2837" s="1" customFormat="1" x14ac:dyDescent="0.25"/>
    <row r="2838" s="1" customFormat="1" x14ac:dyDescent="0.25"/>
    <row r="2839" s="1" customFormat="1" x14ac:dyDescent="0.25"/>
    <row r="2840" s="1" customFormat="1" x14ac:dyDescent="0.25"/>
    <row r="2841" s="1" customFormat="1" x14ac:dyDescent="0.25"/>
    <row r="2842" s="1" customFormat="1" x14ac:dyDescent="0.25"/>
    <row r="2843" s="1" customFormat="1" x14ac:dyDescent="0.25"/>
    <row r="2844" s="1" customFormat="1" x14ac:dyDescent="0.25"/>
    <row r="2845" s="1" customFormat="1" x14ac:dyDescent="0.25"/>
    <row r="2846" s="1" customFormat="1" x14ac:dyDescent="0.25"/>
    <row r="2847" s="1" customFormat="1" x14ac:dyDescent="0.25"/>
    <row r="2848" s="1" customFormat="1" x14ac:dyDescent="0.25"/>
    <row r="2849" s="1" customFormat="1" x14ac:dyDescent="0.25"/>
    <row r="2850" s="1" customFormat="1" x14ac:dyDescent="0.25"/>
    <row r="2851" s="1" customFormat="1" x14ac:dyDescent="0.25"/>
    <row r="2852" s="1" customFormat="1" x14ac:dyDescent="0.25"/>
    <row r="2853" s="1" customFormat="1" x14ac:dyDescent="0.25"/>
    <row r="2854" s="1" customFormat="1" x14ac:dyDescent="0.25"/>
    <row r="2855" s="1" customFormat="1" x14ac:dyDescent="0.25"/>
    <row r="2856" s="1" customFormat="1" x14ac:dyDescent="0.25"/>
    <row r="2857" s="1" customFormat="1" x14ac:dyDescent="0.25"/>
    <row r="2858" s="1" customFormat="1" x14ac:dyDescent="0.25"/>
    <row r="2859" s="1" customFormat="1" x14ac:dyDescent="0.25"/>
    <row r="2860" s="1" customFormat="1" x14ac:dyDescent="0.25"/>
    <row r="2861" s="1" customFormat="1" x14ac:dyDescent="0.25"/>
    <row r="2862" s="1" customFormat="1" x14ac:dyDescent="0.25"/>
    <row r="2863" s="1" customFormat="1" x14ac:dyDescent="0.25"/>
    <row r="2864" s="1" customFormat="1" x14ac:dyDescent="0.25"/>
    <row r="2865" s="1" customFormat="1" x14ac:dyDescent="0.25"/>
    <row r="2866" s="1" customFormat="1" x14ac:dyDescent="0.25"/>
    <row r="2867" s="1" customFormat="1" x14ac:dyDescent="0.25"/>
    <row r="2868" s="1" customFormat="1" x14ac:dyDescent="0.25"/>
    <row r="2869" s="1" customFormat="1" x14ac:dyDescent="0.25"/>
    <row r="2870" s="1" customFormat="1" x14ac:dyDescent="0.25"/>
    <row r="2871" s="1" customFormat="1" x14ac:dyDescent="0.25"/>
    <row r="2872" s="1" customFormat="1" x14ac:dyDescent="0.25"/>
    <row r="2873" s="1" customFormat="1" x14ac:dyDescent="0.25"/>
    <row r="2874" s="1" customFormat="1" x14ac:dyDescent="0.25"/>
    <row r="2875" s="1" customFormat="1" x14ac:dyDescent="0.25"/>
    <row r="2876" s="1" customFormat="1" x14ac:dyDescent="0.25"/>
    <row r="2877" s="1" customFormat="1" x14ac:dyDescent="0.25"/>
    <row r="2878" s="1" customFormat="1" x14ac:dyDescent="0.25"/>
    <row r="2879" s="1" customFormat="1" x14ac:dyDescent="0.25"/>
    <row r="2880" s="1" customFormat="1" x14ac:dyDescent="0.25"/>
    <row r="2881" s="1" customFormat="1" x14ac:dyDescent="0.25"/>
    <row r="2882" s="1" customFormat="1" x14ac:dyDescent="0.25"/>
    <row r="2883" s="1" customFormat="1" x14ac:dyDescent="0.25"/>
    <row r="2884" s="1" customFormat="1" x14ac:dyDescent="0.25"/>
    <row r="2885" s="1" customFormat="1" x14ac:dyDescent="0.25"/>
    <row r="2886" s="1" customFormat="1" x14ac:dyDescent="0.25"/>
    <row r="2887" s="1" customFormat="1" x14ac:dyDescent="0.25"/>
    <row r="2888" s="1" customFormat="1" x14ac:dyDescent="0.25"/>
    <row r="2889" s="1" customFormat="1" x14ac:dyDescent="0.25"/>
    <row r="2890" s="1" customFormat="1" x14ac:dyDescent="0.25"/>
    <row r="2891" s="1" customFormat="1" x14ac:dyDescent="0.25"/>
    <row r="2892" s="1" customFormat="1" x14ac:dyDescent="0.25"/>
    <row r="2893" s="1" customFormat="1" x14ac:dyDescent="0.25"/>
    <row r="2894" s="1" customFormat="1" x14ac:dyDescent="0.25"/>
    <row r="2895" s="1" customFormat="1" x14ac:dyDescent="0.25"/>
    <row r="2896" s="1" customFormat="1" x14ac:dyDescent="0.25"/>
    <row r="2897" s="1" customFormat="1" x14ac:dyDescent="0.25"/>
    <row r="2898" s="1" customFormat="1" x14ac:dyDescent="0.25"/>
    <row r="2899" s="1" customFormat="1" x14ac:dyDescent="0.25"/>
    <row r="2900" s="1" customFormat="1" x14ac:dyDescent="0.25"/>
    <row r="2901" s="1" customFormat="1" x14ac:dyDescent="0.25"/>
    <row r="2902" s="1" customFormat="1" x14ac:dyDescent="0.25"/>
    <row r="2903" s="1" customFormat="1" x14ac:dyDescent="0.25"/>
    <row r="2904" s="1" customFormat="1" x14ac:dyDescent="0.25"/>
    <row r="2905" s="1" customFormat="1" x14ac:dyDescent="0.25"/>
    <row r="2906" s="1" customFormat="1" x14ac:dyDescent="0.25"/>
    <row r="2907" s="1" customFormat="1" x14ac:dyDescent="0.25"/>
    <row r="2908" s="1" customFormat="1" x14ac:dyDescent="0.25"/>
    <row r="2909" s="1" customFormat="1" x14ac:dyDescent="0.25"/>
    <row r="2910" s="1" customFormat="1" x14ac:dyDescent="0.25"/>
    <row r="2911" s="1" customFormat="1" x14ac:dyDescent="0.25"/>
    <row r="2912" s="1" customFormat="1" x14ac:dyDescent="0.25"/>
    <row r="2913" s="1" customFormat="1" x14ac:dyDescent="0.25"/>
    <row r="2914" s="1" customFormat="1" x14ac:dyDescent="0.25"/>
    <row r="2915" s="1" customFormat="1" x14ac:dyDescent="0.25"/>
    <row r="2916" s="1" customFormat="1" x14ac:dyDescent="0.25"/>
    <row r="2917" s="1" customFormat="1" x14ac:dyDescent="0.25"/>
    <row r="2918" s="1" customFormat="1" x14ac:dyDescent="0.25"/>
    <row r="2919" s="1" customFormat="1" x14ac:dyDescent="0.25"/>
    <row r="2920" s="1" customFormat="1" x14ac:dyDescent="0.25"/>
    <row r="2921" s="1" customFormat="1" x14ac:dyDescent="0.25"/>
    <row r="2922" s="1" customFormat="1" x14ac:dyDescent="0.25"/>
    <row r="2923" s="1" customFormat="1" x14ac:dyDescent="0.25"/>
    <row r="2924" s="1" customFormat="1" x14ac:dyDescent="0.25"/>
    <row r="2925" s="1" customFormat="1" x14ac:dyDescent="0.25"/>
    <row r="2926" s="1" customFormat="1" x14ac:dyDescent="0.25"/>
    <row r="2927" s="1" customFormat="1" x14ac:dyDescent="0.25"/>
    <row r="2928" s="1" customFormat="1" x14ac:dyDescent="0.25"/>
    <row r="2929" s="1" customFormat="1" x14ac:dyDescent="0.25"/>
    <row r="2930" s="1" customFormat="1" x14ac:dyDescent="0.25"/>
    <row r="2931" s="1" customFormat="1" x14ac:dyDescent="0.25"/>
    <row r="2932" s="1" customFormat="1" x14ac:dyDescent="0.25"/>
    <row r="2933" s="1" customFormat="1" x14ac:dyDescent="0.25"/>
    <row r="2934" s="1" customFormat="1" x14ac:dyDescent="0.25"/>
    <row r="2935" s="1" customFormat="1" x14ac:dyDescent="0.25"/>
    <row r="2936" s="1" customFormat="1" x14ac:dyDescent="0.25"/>
    <row r="2937" s="1" customFormat="1" x14ac:dyDescent="0.25"/>
    <row r="2938" s="1" customFormat="1" x14ac:dyDescent="0.25"/>
    <row r="2939" s="1" customFormat="1" x14ac:dyDescent="0.25"/>
    <row r="2940" s="1" customFormat="1" x14ac:dyDescent="0.25"/>
    <row r="2941" s="1" customFormat="1" x14ac:dyDescent="0.25"/>
    <row r="2942" s="1" customFormat="1" x14ac:dyDescent="0.25"/>
    <row r="2943" s="1" customFormat="1" x14ac:dyDescent="0.25"/>
    <row r="2944" s="1" customFormat="1" x14ac:dyDescent="0.25"/>
    <row r="2945" s="1" customFormat="1" x14ac:dyDescent="0.25"/>
    <row r="2946" s="1" customFormat="1" x14ac:dyDescent="0.25"/>
    <row r="2947" s="1" customFormat="1" x14ac:dyDescent="0.25"/>
    <row r="2948" s="1" customFormat="1" x14ac:dyDescent="0.25"/>
    <row r="2949" s="1" customFormat="1" x14ac:dyDescent="0.25"/>
    <row r="2950" s="1" customFormat="1" x14ac:dyDescent="0.25"/>
    <row r="2951" s="1" customFormat="1" x14ac:dyDescent="0.25"/>
    <row r="2952" s="1" customFormat="1" x14ac:dyDescent="0.25"/>
    <row r="2953" s="1" customFormat="1" x14ac:dyDescent="0.25"/>
    <row r="2954" s="1" customFormat="1" x14ac:dyDescent="0.25"/>
    <row r="2955" s="1" customFormat="1" x14ac:dyDescent="0.25"/>
    <row r="2956" s="1" customFormat="1" x14ac:dyDescent="0.25"/>
    <row r="2957" s="1" customFormat="1" x14ac:dyDescent="0.25"/>
    <row r="2958" s="1" customFormat="1" x14ac:dyDescent="0.25"/>
    <row r="2959" s="1" customFormat="1" x14ac:dyDescent="0.25"/>
    <row r="2960" s="1" customFormat="1" x14ac:dyDescent="0.25"/>
    <row r="2961" s="1" customFormat="1" x14ac:dyDescent="0.25"/>
    <row r="2962" s="1" customFormat="1" x14ac:dyDescent="0.25"/>
    <row r="2963" s="1" customFormat="1" x14ac:dyDescent="0.25"/>
    <row r="2964" s="1" customFormat="1" x14ac:dyDescent="0.25"/>
    <row r="2965" s="1" customFormat="1" x14ac:dyDescent="0.25"/>
    <row r="2966" s="1" customFormat="1" x14ac:dyDescent="0.25"/>
    <row r="2967" s="1" customFormat="1" x14ac:dyDescent="0.25"/>
    <row r="2968" s="1" customFormat="1" x14ac:dyDescent="0.25"/>
    <row r="2969" s="1" customFormat="1" x14ac:dyDescent="0.25"/>
    <row r="2970" s="1" customFormat="1" x14ac:dyDescent="0.25"/>
    <row r="2971" s="1" customFormat="1" x14ac:dyDescent="0.25"/>
    <row r="2972" s="1" customFormat="1" x14ac:dyDescent="0.25"/>
    <row r="2973" s="1" customFormat="1" x14ac:dyDescent="0.25"/>
    <row r="2974" s="1" customFormat="1" x14ac:dyDescent="0.25"/>
    <row r="2975" s="1" customFormat="1" x14ac:dyDescent="0.25"/>
    <row r="2976" s="1" customFormat="1" x14ac:dyDescent="0.25"/>
    <row r="2977" s="1" customFormat="1" x14ac:dyDescent="0.25"/>
    <row r="2978" s="1" customFormat="1" x14ac:dyDescent="0.25"/>
    <row r="2979" s="1" customFormat="1" x14ac:dyDescent="0.25"/>
    <row r="2980" s="1" customFormat="1" x14ac:dyDescent="0.25"/>
    <row r="2981" s="1" customFormat="1" x14ac:dyDescent="0.25"/>
    <row r="2982" s="1" customFormat="1" x14ac:dyDescent="0.25"/>
    <row r="2983" s="1" customFormat="1" x14ac:dyDescent="0.25"/>
    <row r="2984" s="1" customFormat="1" x14ac:dyDescent="0.25"/>
    <row r="2985" s="1" customFormat="1" x14ac:dyDescent="0.25"/>
    <row r="2986" s="1" customFormat="1" x14ac:dyDescent="0.25"/>
    <row r="2987" s="1" customFormat="1" x14ac:dyDescent="0.25"/>
    <row r="2988" s="1" customFormat="1" x14ac:dyDescent="0.25"/>
    <row r="2989" s="1" customFormat="1" x14ac:dyDescent="0.25"/>
    <row r="2990" s="1" customFormat="1" x14ac:dyDescent="0.25"/>
    <row r="2991" s="1" customFormat="1" x14ac:dyDescent="0.25"/>
    <row r="2992" s="1" customFormat="1" x14ac:dyDescent="0.25"/>
    <row r="2993" s="1" customFormat="1" x14ac:dyDescent="0.25"/>
    <row r="2994" s="1" customFormat="1" x14ac:dyDescent="0.25"/>
    <row r="2995" s="1" customFormat="1" x14ac:dyDescent="0.25"/>
    <row r="2996" s="1" customFormat="1" x14ac:dyDescent="0.25"/>
    <row r="2997" s="1" customFormat="1" x14ac:dyDescent="0.25"/>
    <row r="2998" s="1" customFormat="1" x14ac:dyDescent="0.25"/>
    <row r="2999" s="1" customFormat="1" x14ac:dyDescent="0.25"/>
    <row r="3000" s="1" customFormat="1" x14ac:dyDescent="0.25"/>
    <row r="3001" s="1" customFormat="1" x14ac:dyDescent="0.25"/>
    <row r="3002" s="1" customFormat="1" x14ac:dyDescent="0.25"/>
    <row r="3003" s="1" customFormat="1" x14ac:dyDescent="0.25"/>
    <row r="3004" s="1" customFormat="1" x14ac:dyDescent="0.25"/>
    <row r="3005" s="1" customFormat="1" x14ac:dyDescent="0.25"/>
    <row r="3006" s="1" customFormat="1" x14ac:dyDescent="0.25"/>
    <row r="3007" s="1" customFormat="1" x14ac:dyDescent="0.25"/>
    <row r="3008" s="1" customFormat="1" x14ac:dyDescent="0.25"/>
    <row r="3009" s="1" customFormat="1" x14ac:dyDescent="0.25"/>
    <row r="3010" s="1" customFormat="1" x14ac:dyDescent="0.25"/>
    <row r="3011" s="1" customFormat="1" x14ac:dyDescent="0.25"/>
    <row r="3012" s="1" customFormat="1" x14ac:dyDescent="0.25"/>
    <row r="3013" s="1" customFormat="1" x14ac:dyDescent="0.25"/>
    <row r="3014" s="1" customFormat="1" x14ac:dyDescent="0.25"/>
    <row r="3015" s="1" customFormat="1" x14ac:dyDescent="0.25"/>
    <row r="3016" s="1" customFormat="1" x14ac:dyDescent="0.25"/>
    <row r="3017" s="1" customFormat="1" x14ac:dyDescent="0.25"/>
    <row r="3018" s="1" customFormat="1" x14ac:dyDescent="0.25"/>
    <row r="3019" s="1" customFormat="1" x14ac:dyDescent="0.25"/>
    <row r="3020" s="1" customFormat="1" x14ac:dyDescent="0.25"/>
    <row r="3021" s="1" customFormat="1" x14ac:dyDescent="0.25"/>
    <row r="3022" s="1" customFormat="1" x14ac:dyDescent="0.25"/>
    <row r="3023" s="1" customFormat="1" x14ac:dyDescent="0.25"/>
    <row r="3024" s="1" customFormat="1" x14ac:dyDescent="0.25"/>
    <row r="3025" s="1" customFormat="1" x14ac:dyDescent="0.25"/>
    <row r="3026" s="1" customFormat="1" x14ac:dyDescent="0.25"/>
    <row r="3027" s="1" customFormat="1" x14ac:dyDescent="0.25"/>
    <row r="3028" s="1" customFormat="1" x14ac:dyDescent="0.25"/>
    <row r="3029" s="1" customFormat="1" x14ac:dyDescent="0.25"/>
    <row r="3030" s="1" customFormat="1" x14ac:dyDescent="0.25"/>
    <row r="3031" s="1" customFormat="1" x14ac:dyDescent="0.25"/>
    <row r="3032" s="1" customFormat="1" x14ac:dyDescent="0.25"/>
    <row r="3033" s="1" customFormat="1" x14ac:dyDescent="0.25"/>
    <row r="3034" s="1" customFormat="1" x14ac:dyDescent="0.25"/>
    <row r="3035" s="1" customFormat="1" x14ac:dyDescent="0.25"/>
    <row r="3036" s="1" customFormat="1" x14ac:dyDescent="0.25"/>
    <row r="3037" s="1" customFormat="1" x14ac:dyDescent="0.25"/>
    <row r="3038" s="1" customFormat="1" x14ac:dyDescent="0.25"/>
    <row r="3039" s="1" customFormat="1" x14ac:dyDescent="0.25"/>
    <row r="3040" s="1" customFormat="1" x14ac:dyDescent="0.25"/>
    <row r="3041" s="1" customFormat="1" x14ac:dyDescent="0.25"/>
    <row r="3042" s="1" customFormat="1" x14ac:dyDescent="0.25"/>
    <row r="3043" s="1" customFormat="1" x14ac:dyDescent="0.25"/>
    <row r="3044" s="1" customFormat="1" x14ac:dyDescent="0.25"/>
    <row r="3045" s="1" customFormat="1" x14ac:dyDescent="0.25"/>
    <row r="3046" s="1" customFormat="1" x14ac:dyDescent="0.25"/>
    <row r="3047" s="1" customFormat="1" x14ac:dyDescent="0.25"/>
    <row r="3048" s="1" customFormat="1" x14ac:dyDescent="0.25"/>
    <row r="3049" s="1" customFormat="1" x14ac:dyDescent="0.25"/>
    <row r="3050" s="1" customFormat="1" x14ac:dyDescent="0.25"/>
    <row r="3051" s="1" customFormat="1" x14ac:dyDescent="0.25"/>
    <row r="3052" s="1" customFormat="1" x14ac:dyDescent="0.25"/>
    <row r="3053" s="1" customFormat="1" x14ac:dyDescent="0.25"/>
    <row r="3054" s="1" customFormat="1" x14ac:dyDescent="0.25"/>
    <row r="3055" s="1" customFormat="1" x14ac:dyDescent="0.25"/>
    <row r="3056" s="1" customFormat="1" x14ac:dyDescent="0.25"/>
    <row r="3057" s="1" customFormat="1" x14ac:dyDescent="0.25"/>
    <row r="3058" s="1" customFormat="1" x14ac:dyDescent="0.25"/>
    <row r="3059" s="1" customFormat="1" x14ac:dyDescent="0.25"/>
    <row r="3060" s="1" customFormat="1" x14ac:dyDescent="0.25"/>
    <row r="3061" s="1" customFormat="1" x14ac:dyDescent="0.25"/>
    <row r="3062" s="1" customFormat="1" x14ac:dyDescent="0.25"/>
    <row r="3063" s="1" customFormat="1" x14ac:dyDescent="0.25"/>
    <row r="3064" s="1" customFormat="1" x14ac:dyDescent="0.25"/>
    <row r="3065" s="1" customFormat="1" x14ac:dyDescent="0.25"/>
    <row r="3066" s="1" customFormat="1" x14ac:dyDescent="0.25"/>
    <row r="3067" s="1" customFormat="1" x14ac:dyDescent="0.25"/>
    <row r="3068" s="1" customFormat="1" x14ac:dyDescent="0.25"/>
    <row r="3069" s="1" customFormat="1" x14ac:dyDescent="0.25"/>
    <row r="3070" s="1" customFormat="1" x14ac:dyDescent="0.25"/>
    <row r="3071" s="1" customFormat="1" x14ac:dyDescent="0.25"/>
    <row r="3072" s="1" customFormat="1" x14ac:dyDescent="0.25"/>
    <row r="3073" s="1" customFormat="1" x14ac:dyDescent="0.25"/>
    <row r="3074" s="1" customFormat="1" x14ac:dyDescent="0.25"/>
    <row r="3075" s="1" customFormat="1" x14ac:dyDescent="0.25"/>
    <row r="3076" s="1" customFormat="1" x14ac:dyDescent="0.25"/>
    <row r="3077" s="1" customFormat="1" x14ac:dyDescent="0.25"/>
    <row r="3078" s="1" customFormat="1" x14ac:dyDescent="0.25"/>
    <row r="3079" s="1" customFormat="1" x14ac:dyDescent="0.25"/>
    <row r="3080" s="1" customFormat="1" x14ac:dyDescent="0.25"/>
    <row r="3081" s="1" customFormat="1" x14ac:dyDescent="0.25"/>
    <row r="3082" s="1" customFormat="1" x14ac:dyDescent="0.25"/>
    <row r="3083" s="1" customFormat="1" x14ac:dyDescent="0.25"/>
    <row r="3084" s="1" customFormat="1" x14ac:dyDescent="0.25"/>
    <row r="3085" s="1" customFormat="1" x14ac:dyDescent="0.25"/>
    <row r="3086" s="1" customFormat="1" x14ac:dyDescent="0.25"/>
    <row r="3087" s="1" customFormat="1" x14ac:dyDescent="0.25"/>
    <row r="3088" s="1" customFormat="1" x14ac:dyDescent="0.25"/>
    <row r="3089" s="1" customFormat="1" x14ac:dyDescent="0.25"/>
    <row r="3090" s="1" customFormat="1" x14ac:dyDescent="0.25"/>
    <row r="3091" s="1" customFormat="1" x14ac:dyDescent="0.25"/>
    <row r="3092" s="1" customFormat="1" x14ac:dyDescent="0.25"/>
    <row r="3093" s="1" customFormat="1" x14ac:dyDescent="0.25"/>
    <row r="3094" s="1" customFormat="1" x14ac:dyDescent="0.25"/>
    <row r="3095" s="1" customFormat="1" x14ac:dyDescent="0.25"/>
    <row r="3096" s="1" customFormat="1" x14ac:dyDescent="0.25"/>
    <row r="3097" s="1" customFormat="1" x14ac:dyDescent="0.25"/>
    <row r="3098" s="1" customFormat="1" x14ac:dyDescent="0.25"/>
    <row r="3099" s="1" customFormat="1" x14ac:dyDescent="0.25"/>
    <row r="3100" s="1" customFormat="1" x14ac:dyDescent="0.25"/>
    <row r="3101" s="1" customFormat="1" x14ac:dyDescent="0.25"/>
    <row r="3102" s="1" customFormat="1" x14ac:dyDescent="0.25"/>
    <row r="3103" s="1" customFormat="1" x14ac:dyDescent="0.25"/>
    <row r="3104" s="1" customFormat="1" x14ac:dyDescent="0.25"/>
    <row r="3105" s="1" customFormat="1" x14ac:dyDescent="0.25"/>
    <row r="3106" s="1" customFormat="1" x14ac:dyDescent="0.25"/>
    <row r="3107" s="1" customFormat="1" x14ac:dyDescent="0.25"/>
    <row r="3108" s="1" customFormat="1" x14ac:dyDescent="0.25"/>
    <row r="3109" s="1" customFormat="1" x14ac:dyDescent="0.25"/>
    <row r="3110" s="1" customFormat="1" x14ac:dyDescent="0.25"/>
    <row r="3111" s="1" customFormat="1" x14ac:dyDescent="0.25"/>
    <row r="3112" s="1" customFormat="1" x14ac:dyDescent="0.25"/>
    <row r="3113" s="1" customFormat="1" x14ac:dyDescent="0.25"/>
    <row r="3114" s="1" customFormat="1" x14ac:dyDescent="0.25"/>
    <row r="3115" s="1" customFormat="1" x14ac:dyDescent="0.25"/>
    <row r="3116" s="1" customFormat="1" x14ac:dyDescent="0.25"/>
    <row r="3117" s="1" customFormat="1" x14ac:dyDescent="0.25"/>
    <row r="3118" s="1" customFormat="1" x14ac:dyDescent="0.25"/>
    <row r="3119" s="1" customFormat="1" x14ac:dyDescent="0.25"/>
    <row r="3120" s="1" customFormat="1" x14ac:dyDescent="0.25"/>
    <row r="3121" s="1" customFormat="1" x14ac:dyDescent="0.25"/>
    <row r="3122" s="1" customFormat="1" x14ac:dyDescent="0.25"/>
    <row r="3123" s="1" customFormat="1" x14ac:dyDescent="0.25"/>
    <row r="3124" s="1" customFormat="1" x14ac:dyDescent="0.25"/>
    <row r="3125" s="1" customFormat="1" x14ac:dyDescent="0.25"/>
    <row r="3126" s="1" customFormat="1" x14ac:dyDescent="0.25"/>
    <row r="3127" s="1" customFormat="1" x14ac:dyDescent="0.25"/>
    <row r="3128" s="1" customFormat="1" x14ac:dyDescent="0.25"/>
    <row r="3129" s="1" customFormat="1" x14ac:dyDescent="0.25"/>
    <row r="3130" s="1" customFormat="1" x14ac:dyDescent="0.25"/>
    <row r="3131" s="1" customFormat="1" x14ac:dyDescent="0.25"/>
    <row r="3132" s="1" customFormat="1" x14ac:dyDescent="0.25"/>
    <row r="3133" s="1" customFormat="1" x14ac:dyDescent="0.25"/>
    <row r="3134" s="1" customFormat="1" x14ac:dyDescent="0.25"/>
    <row r="3135" s="1" customFormat="1" x14ac:dyDescent="0.25"/>
    <row r="3136" s="1" customFormat="1" x14ac:dyDescent="0.25"/>
    <row r="3137" s="1" customFormat="1" x14ac:dyDescent="0.25"/>
    <row r="3138" s="1" customFormat="1" x14ac:dyDescent="0.25"/>
    <row r="3139" s="1" customFormat="1" x14ac:dyDescent="0.25"/>
    <row r="3140" s="1" customFormat="1" x14ac:dyDescent="0.25"/>
    <row r="3141" s="1" customFormat="1" x14ac:dyDescent="0.25"/>
    <row r="3142" s="1" customFormat="1" x14ac:dyDescent="0.25"/>
    <row r="3143" s="1" customFormat="1" x14ac:dyDescent="0.25"/>
    <row r="3144" s="1" customFormat="1" x14ac:dyDescent="0.25"/>
    <row r="3145" s="1" customFormat="1" x14ac:dyDescent="0.25"/>
    <row r="3146" s="1" customFormat="1" x14ac:dyDescent="0.25"/>
    <row r="3147" s="1" customFormat="1" x14ac:dyDescent="0.25"/>
    <row r="3148" s="1" customFormat="1" x14ac:dyDescent="0.25"/>
    <row r="3149" s="1" customFormat="1" x14ac:dyDescent="0.25"/>
    <row r="3150" s="1" customFormat="1" x14ac:dyDescent="0.25"/>
    <row r="3151" s="1" customFormat="1" x14ac:dyDescent="0.25"/>
    <row r="3152" s="1" customFormat="1" x14ac:dyDescent="0.25"/>
    <row r="3153" s="1" customFormat="1" x14ac:dyDescent="0.25"/>
    <row r="3154" s="1" customFormat="1" x14ac:dyDescent="0.25"/>
    <row r="3155" s="1" customFormat="1" x14ac:dyDescent="0.25"/>
    <row r="3156" s="1" customFormat="1" x14ac:dyDescent="0.25"/>
    <row r="3157" s="1" customFormat="1" x14ac:dyDescent="0.25"/>
    <row r="3158" s="1" customFormat="1" x14ac:dyDescent="0.25"/>
    <row r="3159" s="1" customFormat="1" x14ac:dyDescent="0.25"/>
    <row r="3160" s="1" customFormat="1" x14ac:dyDescent="0.25"/>
    <row r="3161" s="1" customFormat="1" x14ac:dyDescent="0.25"/>
    <row r="3162" s="1" customFormat="1" x14ac:dyDescent="0.25"/>
    <row r="3163" s="1" customFormat="1" x14ac:dyDescent="0.25"/>
    <row r="3164" s="1" customFormat="1" x14ac:dyDescent="0.25"/>
    <row r="3165" s="1" customFormat="1" x14ac:dyDescent="0.25"/>
    <row r="3166" s="1" customFormat="1" x14ac:dyDescent="0.25"/>
    <row r="3167" s="1" customFormat="1" x14ac:dyDescent="0.25"/>
    <row r="3168" s="1" customFormat="1" x14ac:dyDescent="0.25"/>
    <row r="3169" s="1" customFormat="1" x14ac:dyDescent="0.25"/>
    <row r="3170" s="1" customFormat="1" x14ac:dyDescent="0.25"/>
    <row r="3171" s="1" customFormat="1" x14ac:dyDescent="0.25"/>
    <row r="3172" s="1" customFormat="1" x14ac:dyDescent="0.25"/>
    <row r="3173" s="1" customFormat="1" x14ac:dyDescent="0.25"/>
    <row r="3174" s="1" customFormat="1" x14ac:dyDescent="0.25"/>
    <row r="3175" s="1" customFormat="1" x14ac:dyDescent="0.25"/>
    <row r="3176" s="1" customFormat="1" x14ac:dyDescent="0.25"/>
    <row r="3177" s="1" customFormat="1" x14ac:dyDescent="0.25"/>
    <row r="3178" s="1" customFormat="1" x14ac:dyDescent="0.25"/>
    <row r="3179" s="1" customFormat="1" x14ac:dyDescent="0.25"/>
    <row r="3180" s="1" customFormat="1" x14ac:dyDescent="0.25"/>
    <row r="3181" s="1" customFormat="1" x14ac:dyDescent="0.25"/>
    <row r="3182" s="1" customFormat="1" x14ac:dyDescent="0.25"/>
    <row r="3183" s="1" customFormat="1" x14ac:dyDescent="0.25"/>
    <row r="3184" s="1" customFormat="1" x14ac:dyDescent="0.25"/>
    <row r="3185" s="1" customFormat="1" x14ac:dyDescent="0.25"/>
    <row r="3186" s="1" customFormat="1" x14ac:dyDescent="0.25"/>
    <row r="3187" s="1" customFormat="1" x14ac:dyDescent="0.25"/>
    <row r="3188" s="1" customFormat="1" x14ac:dyDescent="0.25"/>
    <row r="3189" s="1" customFormat="1" x14ac:dyDescent="0.25"/>
    <row r="3190" s="1" customFormat="1" x14ac:dyDescent="0.25"/>
    <row r="3191" s="1" customFormat="1" x14ac:dyDescent="0.25"/>
    <row r="3192" s="1" customFormat="1" x14ac:dyDescent="0.25"/>
    <row r="3193" s="1" customFormat="1" x14ac:dyDescent="0.25"/>
    <row r="3194" s="1" customFormat="1" x14ac:dyDescent="0.25"/>
    <row r="3195" s="1" customFormat="1" x14ac:dyDescent="0.25"/>
    <row r="3196" s="1" customFormat="1" x14ac:dyDescent="0.25"/>
    <row r="3197" s="1" customFormat="1" x14ac:dyDescent="0.25"/>
    <row r="3198" s="1" customFormat="1" x14ac:dyDescent="0.25"/>
    <row r="3199" s="1" customFormat="1" x14ac:dyDescent="0.25"/>
    <row r="3200" s="1" customFormat="1" x14ac:dyDescent="0.25"/>
    <row r="3201" s="1" customFormat="1" x14ac:dyDescent="0.25"/>
    <row r="3202" s="1" customFormat="1" x14ac:dyDescent="0.25"/>
    <row r="3203" s="1" customFormat="1" x14ac:dyDescent="0.25"/>
    <row r="3204" s="1" customFormat="1" x14ac:dyDescent="0.25"/>
    <row r="3205" s="1" customFormat="1" x14ac:dyDescent="0.25"/>
    <row r="3206" s="1" customFormat="1" x14ac:dyDescent="0.25"/>
    <row r="3207" s="1" customFormat="1" x14ac:dyDescent="0.25"/>
  </sheetData>
  <sheetProtection algorithmName="SHA-512" hashValue="2l2YFZ060Zaq07KLqblb4U+WZ7vSUf8g0OhUztEHR3LRZ4XwLQsJrn9YdwPkxeV65mWruVN4Z8vpi0AHaGgTdQ==" saltValue="aCuEgndAlLtlaTSTIjIN6A==" spinCount="100000" sheet="1" objects="1" scenarios="1"/>
  <mergeCells count="31">
    <mergeCell ref="A4:C4"/>
    <mergeCell ref="A22:H22"/>
    <mergeCell ref="A7:B7"/>
    <mergeCell ref="B23:E23"/>
    <mergeCell ref="B31:E31"/>
    <mergeCell ref="B97:E97"/>
    <mergeCell ref="A39:H39"/>
    <mergeCell ref="A56:H56"/>
    <mergeCell ref="A57:H57"/>
    <mergeCell ref="A14:B14"/>
    <mergeCell ref="B40:E40"/>
    <mergeCell ref="B48:E48"/>
    <mergeCell ref="A96:H96"/>
    <mergeCell ref="A59:H59"/>
    <mergeCell ref="A76:H76"/>
    <mergeCell ref="A93:H93"/>
    <mergeCell ref="A94:H94"/>
    <mergeCell ref="B60:E60"/>
    <mergeCell ref="B68:E68"/>
    <mergeCell ref="B77:E77"/>
    <mergeCell ref="B85:E85"/>
    <mergeCell ref="B105:E105"/>
    <mergeCell ref="B114:E114"/>
    <mergeCell ref="B122:E122"/>
    <mergeCell ref="A134:H134"/>
    <mergeCell ref="A135:H135"/>
    <mergeCell ref="A113:H113"/>
    <mergeCell ref="A130:H130"/>
    <mergeCell ref="A131:H131"/>
    <mergeCell ref="A132:H132"/>
    <mergeCell ref="A133:H133"/>
  </mergeCells>
  <dataValidations count="3">
    <dataValidation type="list" allowBlank="1" showInputMessage="1" showErrorMessage="1" sqref="B8 B18" xr:uid="{3AAB7EBA-5CD0-42DD-A2ED-43CBC1A3AB70}">
      <formula1>$M$24:$M$36</formula1>
    </dataValidation>
    <dataValidation type="list" allowBlank="1" showInputMessage="1" showErrorMessage="1" sqref="B9:B13 B19:B20 B16:B17" xr:uid="{5AF1DCD1-A86C-47D4-A10A-438D8F95E657}">
      <formula1>$N$24:$N$35</formula1>
    </dataValidation>
    <dataValidation type="list" allowBlank="1" showInputMessage="1" showErrorMessage="1" sqref="B15" xr:uid="{CEE50EEC-2473-4FBC-8DCE-1C38A79477C4}">
      <formula1>$O$24:$O$38</formula1>
    </dataValidation>
  </dataValidations>
  <hyperlinks>
    <hyperlink ref="A25" r:id="rId1" xr:uid="{2B80C36F-797F-4BC9-A12A-910BCF511448}"/>
    <hyperlink ref="A27" r:id="rId2" xr:uid="{13A0A330-5F65-42FD-B8E4-EB9EF16A7805}"/>
    <hyperlink ref="A42" r:id="rId3" xr:uid="{7E7CC2D2-608A-445D-A8E0-84D1CB68A513}"/>
    <hyperlink ref="A28" r:id="rId4" display="Traction australienne" xr:uid="{702100B9-FDCE-4478-B8BE-DF182B8B18E4}"/>
    <hyperlink ref="H27" r:id="rId5" display="https://youtu.be/Ocg8wyTciVc?si=LWyXVbYtDjva6wt2" xr:uid="{92358C09-681D-44CF-911D-525F9D8E881A}"/>
    <hyperlink ref="A26" r:id="rId6" xr:uid="{8ED77082-5943-41E0-B2CC-19F22DFA2D0E}"/>
    <hyperlink ref="A43" r:id="rId7" xr:uid="{788CBBCE-588F-4149-9C73-FE39CBAF61B2}"/>
    <hyperlink ref="A44" r:id="rId8" xr:uid="{28CF4523-A110-43D2-AD33-D1A272E9209D}"/>
    <hyperlink ref="H44" r:id="rId9" display="https://www.youtube.com/watch?app=desktop&amp;si=LWyXVbYtDjva6wt2&amp;v=Ocg8wyTciVc&amp;feature=youtu.be&amp;ab_channel=BodY-ProoFCalisthenics" xr:uid="{3AB6C1E4-A94B-4D35-A073-13D845CBCBB0}"/>
    <hyperlink ref="A45" r:id="rId10" display="Traction australienne" xr:uid="{7F0CDC43-91B4-4CF3-89CF-C6206FBA9F5B}"/>
    <hyperlink ref="A16" r:id="rId11" xr:uid="{8E019E86-1DA0-4A04-8517-5A712A150ACB}"/>
    <hyperlink ref="A63" r:id="rId12" xr:uid="{F51BC9F1-F228-4B6C-9C6B-C57706F91441}"/>
    <hyperlink ref="A62" r:id="rId13" display="Traction australienne" xr:uid="{7E6F78A0-BA51-49C4-B23F-39567F6FD26B}"/>
    <hyperlink ref="A64" r:id="rId14" xr:uid="{B5952FED-4A7C-4B56-BCFE-E0BAFD2D2B5D}"/>
    <hyperlink ref="A65" r:id="rId15" xr:uid="{6C183C84-8BCE-4DCF-9AFE-2516BF64CE60}"/>
    <hyperlink ref="A80" r:id="rId16" xr:uid="{A6D2354A-99CB-4208-B33B-ECFD26B65F12}"/>
    <hyperlink ref="A79" r:id="rId17" display="Traction australienne" xr:uid="{06484A11-C3E4-4C74-A05C-AF8579DF753D}"/>
    <hyperlink ref="A81" r:id="rId18" xr:uid="{8DFF8B99-F360-452A-B201-69D7D8DD7059}"/>
    <hyperlink ref="A82" r:id="rId19" xr:uid="{A5873338-6942-4E60-91D3-E5F4B8AFD2D9}"/>
    <hyperlink ref="A99" r:id="rId20" xr:uid="{619EA8EB-6566-445B-8336-D6527D066EE7}"/>
    <hyperlink ref="A100" r:id="rId21" xr:uid="{AB22B6C2-29F9-4358-9E00-79CE2F8D7EF5}"/>
    <hyperlink ref="A101" r:id="rId22" xr:uid="{1F031729-F570-4460-A8D4-AE753FBC4396}"/>
    <hyperlink ref="A102" r:id="rId23" display="Traction australienne" xr:uid="{E4A45E7E-8F10-4C80-997C-339866703217}"/>
    <hyperlink ref="A30" r:id="rId24" xr:uid="{FF264F96-1617-49B9-89BC-554775EA7E52}"/>
    <hyperlink ref="A47" r:id="rId25" xr:uid="{1947E3CB-3424-4D61-9017-50D798AA3929}"/>
    <hyperlink ref="A66" r:id="rId26" xr:uid="{807F2E58-3654-4AC9-93C4-8E9269B26D03}"/>
    <hyperlink ref="A83" r:id="rId27" xr:uid="{C736312B-5152-4660-A34C-61E2DF4204CF}"/>
    <hyperlink ref="A104" r:id="rId28" xr:uid="{AD5BFD98-E0F7-4FF6-8E89-B1A54BC83407}"/>
    <hyperlink ref="A29" r:id="rId29" display="Extension triceps contre un mur ou extension nuque haltères" xr:uid="{691E5052-10E9-4022-9EFB-57F46C0AE3C7}"/>
    <hyperlink ref="A46" r:id="rId30" display="Extension triceps contre un mur ou extension nuque haltères" xr:uid="{BBC44C71-0730-4427-ACEE-70B0D43EEFED}"/>
    <hyperlink ref="A67" r:id="rId31" display="Extension triceps contre un mur ou extension nuque haltères" xr:uid="{F5061954-6249-48BA-87F7-B6482BBC3A55}"/>
    <hyperlink ref="A84" r:id="rId32" display="Extension triceps contre un mur ou extension nuque haltères" xr:uid="{ADE73229-8994-4035-AE28-6CD27134BA9E}"/>
    <hyperlink ref="A103" r:id="rId33" display="Extension triceps contre un mur ou extension nuque haltères" xr:uid="{858030B2-D6D7-4B92-8A9D-A9E9D04844CC}"/>
    <hyperlink ref="A116" r:id="rId34" xr:uid="{3FE26803-E9F8-4622-9E91-502C7C084B4B}"/>
    <hyperlink ref="A117" r:id="rId35" xr:uid="{495417A5-645C-4311-B98C-90B377511A7C}"/>
    <hyperlink ref="A118" r:id="rId36" xr:uid="{721BC769-DE3D-4BD7-9A29-DA26FDABCC16}"/>
    <hyperlink ref="A119" r:id="rId37" display="Traction australienne" xr:uid="{035877D5-6F1D-4B39-92CB-59106E19EC64}"/>
    <hyperlink ref="A121" r:id="rId38" xr:uid="{A86580C7-47BC-475C-915C-D2E364122C7E}"/>
    <hyperlink ref="A120" r:id="rId39" display="Extension triceps contre un mur ou extension nuque haltères" xr:uid="{222D8BD3-FA8B-413C-BA01-6F88E07920C8}"/>
    <hyperlink ref="H63" r:id="rId40" display="https://www.youtube.com/watch?app=desktop&amp;si=LWyXVbYtDjva6wt2&amp;v=Ocg8wyTciVc&amp;feature=youtu.be&amp;ab_channel=BodY-ProoFCalisthenics" xr:uid="{E015B9AB-2ACD-410B-B8CE-B7CF81726FA0}"/>
    <hyperlink ref="H80" r:id="rId41" display="https://www.youtube.com/watch?app=desktop&amp;si=LWyXVbYtDjva6wt2&amp;v=Ocg8wyTciVc&amp;feature=youtu.be&amp;ab_channel=BodY-ProoFCalisthenics" xr:uid="{6EB3EF61-2957-4415-940B-1D1595315F87}"/>
    <hyperlink ref="H99" r:id="rId42" display="https://www.youtube.com/watch?app=desktop&amp;si=LWyXVbYtDjva6wt2&amp;v=Ocg8wyTciVc&amp;feature=youtu.be&amp;ab_channel=BodY-ProoFCalisthenics" xr:uid="{DE12764B-1823-4FF5-B58C-23ED8BFDCFC3}"/>
    <hyperlink ref="H116" r:id="rId43" display="https://www.youtube.com/watch?app=desktop&amp;si=LWyXVbYtDjva6wt2&amp;v=Ocg8wyTciVc&amp;feature=youtu.be&amp;ab_channel=BodY-ProoFCalisthenics" xr:uid="{5ED483A3-92AF-47C0-A65D-D984710D971B}"/>
    <hyperlink ref="A34" r:id="rId44" xr:uid="{FD6C6486-A6C2-47B9-93AC-C9E149DB6154}"/>
    <hyperlink ref="A51" r:id="rId45" xr:uid="{865AD08F-95DC-4905-AD48-63266B4BD484}"/>
    <hyperlink ref="A70" r:id="rId46" xr:uid="{8BE60D42-FDB6-4F61-8BD4-24B4477BFB90}"/>
    <hyperlink ref="A87" r:id="rId47" xr:uid="{719BA063-D708-4541-B6A4-98FA04303E1F}"/>
    <hyperlink ref="A108" r:id="rId48" xr:uid="{71574954-F9D3-4063-AED9-E426B607A4FC}"/>
    <hyperlink ref="A125" r:id="rId49" xr:uid="{D9445B8E-1E56-4C0F-9C26-CF9EF8988CC2}"/>
    <hyperlink ref="A17" r:id="rId50" xr:uid="{1236F992-CE68-4F14-B8FB-0B8785CB3185}"/>
    <hyperlink ref="A35" r:id="rId51" xr:uid="{511570FC-8A51-4DB3-81B2-83B444D2DDC1}"/>
    <hyperlink ref="A52" r:id="rId52" xr:uid="{510EB55A-8C8D-4577-B850-60EFFA91CB8C}"/>
    <hyperlink ref="A72" r:id="rId53" xr:uid="{9035A6B7-199E-4AFD-AD39-D4202BC0053E}"/>
    <hyperlink ref="A89" r:id="rId54" xr:uid="{761F9C6F-551E-4897-B4A4-D7F60C8BB971}"/>
    <hyperlink ref="A109" r:id="rId55" xr:uid="{D8031878-8103-4C24-9ABB-C7B42FC7FD89}"/>
    <hyperlink ref="A126" r:id="rId56" xr:uid="{AAC76823-BA61-4718-913E-6151096C2700}"/>
    <hyperlink ref="A8" r:id="rId57" xr:uid="{C857D289-A437-46B5-A5C1-224FDD08A8A2}"/>
    <hyperlink ref="A10" r:id="rId58" xr:uid="{0A6F86CF-28FD-4533-8D81-57B4BA653278}"/>
    <hyperlink ref="A11" r:id="rId59" display="Tractions australienne" xr:uid="{1B9849D4-8853-40BE-BB1B-2E44AFFA858A}"/>
    <hyperlink ref="A12" r:id="rId60" xr:uid="{B91FA11E-3467-4698-9E4D-331D63C3D530}"/>
    <hyperlink ref="A13" r:id="rId61" xr:uid="{F922A3A9-AEFC-4944-A8A5-CF72F0F78CE6}"/>
    <hyperlink ref="A18" r:id="rId62" xr:uid="{E30509D4-E205-47AA-B2C6-69C3AA7B96C1}"/>
    <hyperlink ref="A19" r:id="rId63" display="Relevé de jambes suspendu ou au sol" xr:uid="{1B1DDF64-6958-470A-AAA7-4C7558D170A0}"/>
    <hyperlink ref="A20" r:id="rId64" xr:uid="{BA80B1AC-3C51-4F6D-B461-F710CF43EAE7}"/>
    <hyperlink ref="A9" r:id="rId65" xr:uid="{F1E9B930-5691-4CA9-9A7C-5E89DA4DC7D5}"/>
    <hyperlink ref="A15" r:id="rId66" xr:uid="{B56F2FAD-0810-4E95-BC58-E0E9F1607092}"/>
    <hyperlink ref="A33" r:id="rId67" xr:uid="{6B316ADA-6CD2-4B80-80D3-422C48300D02}"/>
    <hyperlink ref="A50" r:id="rId68" xr:uid="{EAA7698A-9AE9-4AD4-9083-4AF6B1C1EA27}"/>
    <hyperlink ref="A71" r:id="rId69" xr:uid="{62B568B8-481E-4958-8BE8-A5D08D8B0B0E}"/>
    <hyperlink ref="A88" r:id="rId70" xr:uid="{3BFF6ACB-9F51-4B59-9F5F-BA8EFC18E49E}"/>
    <hyperlink ref="A107" r:id="rId71" xr:uid="{D8EE9171-BD39-4204-9C9F-00D09368037F}"/>
    <hyperlink ref="A124" r:id="rId72" xr:uid="{8B65263D-4F3D-441F-A034-C93B06B95B6F}"/>
    <hyperlink ref="B23" r:id="rId73" xr:uid="{3AC2A4B5-9702-4BD1-B29E-57504C9F4246}"/>
    <hyperlink ref="B31" r:id="rId74" xr:uid="{7C65CF48-4AEF-4578-89D6-D3C061F60D79}"/>
    <hyperlink ref="B40" r:id="rId75" xr:uid="{7F880ABF-3AA5-40C8-A222-2C7D66308CC8}"/>
    <hyperlink ref="B48" r:id="rId76" xr:uid="{92D426E4-C4AB-45DF-A9F5-7BF1FC53CACD}"/>
    <hyperlink ref="B60" r:id="rId77" xr:uid="{3FFC2377-0DB2-4FB7-B61E-E27FD794EED0}"/>
    <hyperlink ref="B68" r:id="rId78" xr:uid="{5E5D3227-3622-4BB7-A510-2B161CF96865}"/>
    <hyperlink ref="B77" r:id="rId79" xr:uid="{0B9E5257-A04A-424D-87AE-B4DF2749D272}"/>
    <hyperlink ref="B85" r:id="rId80" xr:uid="{7A5A2C54-01C1-4069-AFE5-8C83CE4E1966}"/>
    <hyperlink ref="B97" r:id="rId81" xr:uid="{FBE443AB-FAAB-4197-A683-93557A21EE60}"/>
    <hyperlink ref="B105" r:id="rId82" xr:uid="{CD53BECC-BC5A-4846-B644-AA0799BB9669}"/>
    <hyperlink ref="B114" r:id="rId83" xr:uid="{FBF7D705-A7C6-488C-B693-DB9BEDBE8033}"/>
    <hyperlink ref="B122" r:id="rId84" xr:uid="{83242CCF-00D0-4565-9F7C-4E22A8C597EC}"/>
    <hyperlink ref="H23" r:id="rId85" xr:uid="{A0A3812B-78E6-4D23-8A29-0C5417247CC6}"/>
    <hyperlink ref="H31" r:id="rId86" xr:uid="{F21C5A47-16C2-4A9B-9DB9-7746897367A5}"/>
    <hyperlink ref="H40" r:id="rId87" xr:uid="{31F3D5C6-D15B-4F80-A85C-86FF43CDDFE3}"/>
    <hyperlink ref="H48" r:id="rId88" xr:uid="{414139E4-B666-46DA-9EC9-417CD2E9F0BB}"/>
    <hyperlink ref="H60" r:id="rId89" xr:uid="{6AC9FD89-D1A8-4957-A1FB-C9100392BE93}"/>
    <hyperlink ref="H68" r:id="rId90" xr:uid="{82270B7A-174F-4C59-9B11-4B1F51B445D8}"/>
    <hyperlink ref="H77" r:id="rId91" xr:uid="{8A5EC7C4-9B78-4E2E-B133-6698E3B51195}"/>
    <hyperlink ref="H85" r:id="rId92" xr:uid="{D31CF4B7-64B5-4520-B409-9D3F140AD1E8}"/>
    <hyperlink ref="H97" r:id="rId93" xr:uid="{55F29337-A0AD-4216-8246-BAF8AC181CA4}"/>
    <hyperlink ref="H105" r:id="rId94" xr:uid="{E28D723D-E9ED-411A-AF81-B7AF73C8ECF5}"/>
    <hyperlink ref="H114" r:id="rId95" xr:uid="{44D66BE0-A67E-4967-A549-1275C91E0C46}"/>
    <hyperlink ref="H122" r:id="rId96" xr:uid="{91D6FDEE-7585-49EC-8EA8-62F2080C45DC}"/>
  </hyperlinks>
  <pageMargins left="0.7" right="0.7" top="0.75" bottom="0.75" header="0.3" footer="0.3"/>
  <pageSetup paperSize="9" orientation="portrait" verticalDpi="0" r:id="rId97"/>
  <drawing r:id="rId9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DE778-3542-4A3D-AEAE-B458AA2C3E23}">
  <sheetPr codeName="Feuil7"/>
  <dimension ref="A1:HA886"/>
  <sheetViews>
    <sheetView workbookViewId="0">
      <selection activeCell="C8" sqref="C8"/>
    </sheetView>
  </sheetViews>
  <sheetFormatPr baseColWidth="10" defaultRowHeight="15" x14ac:dyDescent="0.25"/>
  <cols>
    <col min="1" max="1" width="55" customWidth="1"/>
    <col min="4" max="4" width="31" bestFit="1" customWidth="1"/>
    <col min="5" max="5" width="32.140625" bestFit="1" customWidth="1"/>
    <col min="6" max="6" width="11.28515625" bestFit="1" customWidth="1"/>
    <col min="7" max="7" width="14.28515625" bestFit="1" customWidth="1"/>
    <col min="8" max="8" width="57.28515625" customWidth="1"/>
    <col min="9" max="11" width="11.42578125" style="1"/>
    <col min="12" max="12" width="11.42578125" style="8"/>
    <col min="13" max="13" width="17.28515625" style="8" hidden="1" customWidth="1"/>
    <col min="14" max="14" width="9" style="8" hidden="1" customWidth="1"/>
    <col min="15" max="15" width="7.7109375" style="8" hidden="1" customWidth="1"/>
    <col min="16" max="16" width="11.42578125" style="8"/>
    <col min="17" max="209" width="11.42578125" style="1"/>
  </cols>
  <sheetData>
    <row r="1" spans="1:16" ht="15.75" x14ac:dyDescent="0.25">
      <c r="A1" s="210" t="s">
        <v>288</v>
      </c>
      <c r="B1" s="210"/>
      <c r="C1" s="210"/>
      <c r="D1" s="210"/>
      <c r="E1" s="210"/>
      <c r="F1" s="1"/>
      <c r="G1" s="1"/>
      <c r="H1" s="1"/>
    </row>
    <row r="2" spans="1:16" x14ac:dyDescent="0.25">
      <c r="A2" s="211" t="s">
        <v>283</v>
      </c>
      <c r="B2" s="211"/>
      <c r="C2" s="211"/>
      <c r="D2" s="211"/>
      <c r="E2" s="211"/>
      <c r="F2" s="1"/>
      <c r="G2" s="1"/>
      <c r="H2" s="1"/>
    </row>
    <row r="3" spans="1:16" x14ac:dyDescent="0.25">
      <c r="A3" s="80" t="s">
        <v>284</v>
      </c>
      <c r="B3" s="80"/>
      <c r="C3" s="80"/>
      <c r="D3" s="85"/>
      <c r="E3" s="85"/>
      <c r="F3" s="1"/>
      <c r="G3" s="1"/>
      <c r="H3" s="1"/>
    </row>
    <row r="4" spans="1:16" x14ac:dyDescent="0.25">
      <c r="A4" s="211" t="s">
        <v>285</v>
      </c>
      <c r="B4" s="211"/>
      <c r="C4" s="211"/>
      <c r="D4" s="84"/>
      <c r="E4" s="84"/>
      <c r="F4" s="1"/>
      <c r="G4" s="1"/>
      <c r="H4" s="1"/>
    </row>
    <row r="5" spans="1:16" s="1" customFormat="1" x14ac:dyDescent="0.25">
      <c r="A5" s="11" t="s">
        <v>154</v>
      </c>
      <c r="L5" s="8"/>
      <c r="M5" s="8"/>
      <c r="N5" s="8"/>
      <c r="O5" s="8"/>
      <c r="P5" s="8"/>
    </row>
    <row r="6" spans="1:16" s="1" customFormat="1" ht="15.75" thickBot="1" x14ac:dyDescent="0.3">
      <c r="A6" s="8" t="s">
        <v>129</v>
      </c>
      <c r="L6" s="8"/>
      <c r="M6" s="8"/>
      <c r="N6" s="8"/>
      <c r="O6" s="8"/>
      <c r="P6" s="8"/>
    </row>
    <row r="7" spans="1:16" ht="15.75" thickBot="1" x14ac:dyDescent="0.3">
      <c r="A7" s="223" t="s">
        <v>275</v>
      </c>
      <c r="B7" s="223"/>
      <c r="C7" s="1"/>
      <c r="D7" s="1"/>
      <c r="E7" s="1"/>
      <c r="F7" s="1"/>
      <c r="G7" s="1"/>
      <c r="H7" s="1"/>
    </row>
    <row r="8" spans="1:16" ht="15.75" thickBot="1" x14ac:dyDescent="0.3">
      <c r="A8" s="101" t="s">
        <v>147</v>
      </c>
      <c r="B8" s="36"/>
      <c r="C8" s="1"/>
      <c r="D8" s="1"/>
      <c r="E8" s="1"/>
      <c r="F8" s="1"/>
      <c r="G8" s="1"/>
      <c r="H8" s="1"/>
    </row>
    <row r="9" spans="1:16" ht="15.75" thickBot="1" x14ac:dyDescent="0.3">
      <c r="A9" s="81" t="s">
        <v>148</v>
      </c>
      <c r="B9" s="36"/>
      <c r="C9" s="1"/>
      <c r="D9" s="1"/>
      <c r="E9" s="1"/>
      <c r="F9" s="1"/>
      <c r="G9" s="1"/>
      <c r="H9" s="1"/>
    </row>
    <row r="10" spans="1:16" ht="15.75" thickBot="1" x14ac:dyDescent="0.3">
      <c r="A10" s="101" t="s">
        <v>252</v>
      </c>
      <c r="B10" s="36"/>
      <c r="C10" s="1"/>
      <c r="D10" s="1"/>
      <c r="E10" s="1"/>
      <c r="F10" s="1"/>
      <c r="G10" s="1"/>
      <c r="H10" s="1"/>
    </row>
    <row r="11" spans="1:16" ht="15.75" thickBot="1" x14ac:dyDescent="0.3">
      <c r="A11" s="101" t="s">
        <v>273</v>
      </c>
      <c r="B11" s="36"/>
      <c r="C11" s="1"/>
      <c r="D11" s="1"/>
      <c r="E11" s="1"/>
      <c r="F11" s="1"/>
      <c r="G11" s="1"/>
      <c r="H11" s="1"/>
    </row>
    <row r="12" spans="1:16" ht="15.75" thickBot="1" x14ac:dyDescent="0.3">
      <c r="A12" s="81" t="s">
        <v>274</v>
      </c>
      <c r="B12" s="36"/>
      <c r="C12" s="8" t="s">
        <v>280</v>
      </c>
      <c r="D12" s="1"/>
      <c r="E12" s="1"/>
      <c r="F12" s="1"/>
      <c r="G12" s="1"/>
      <c r="H12" s="1"/>
    </row>
    <row r="13" spans="1:16" ht="15.75" thickBot="1" x14ac:dyDescent="0.3">
      <c r="A13" s="81" t="s">
        <v>282</v>
      </c>
      <c r="B13" s="36"/>
      <c r="C13" s="1"/>
      <c r="D13" s="1"/>
      <c r="E13" s="1"/>
      <c r="F13" s="1"/>
      <c r="G13" s="1"/>
      <c r="H13" s="1"/>
    </row>
    <row r="14" spans="1:16" ht="15.75" thickBot="1" x14ac:dyDescent="0.3">
      <c r="A14" s="223" t="s">
        <v>276</v>
      </c>
      <c r="B14" s="223"/>
      <c r="C14" s="1"/>
      <c r="D14" s="1"/>
      <c r="E14" s="1"/>
      <c r="F14" s="1"/>
      <c r="G14" s="1"/>
      <c r="H14" s="1"/>
    </row>
    <row r="15" spans="1:16" ht="15.75" thickBot="1" x14ac:dyDescent="0.3">
      <c r="A15" s="81" t="s">
        <v>328</v>
      </c>
      <c r="B15" s="36"/>
      <c r="C15" s="1"/>
      <c r="D15" s="1"/>
      <c r="E15" s="1"/>
      <c r="F15" s="1"/>
      <c r="G15" s="1"/>
      <c r="H15" s="1"/>
    </row>
    <row r="16" spans="1:16" ht="15.75" thickBot="1" x14ac:dyDescent="0.3">
      <c r="A16" s="81" t="s">
        <v>155</v>
      </c>
      <c r="B16" s="36"/>
      <c r="C16" s="1"/>
      <c r="D16" s="1"/>
      <c r="E16" s="1"/>
      <c r="F16" s="1"/>
      <c r="G16" s="1"/>
      <c r="H16" s="1"/>
    </row>
    <row r="17" spans="1:16" ht="15.75" thickBot="1" x14ac:dyDescent="0.3">
      <c r="A17" s="81" t="s">
        <v>157</v>
      </c>
      <c r="B17" s="36"/>
      <c r="C17" s="8" t="s">
        <v>281</v>
      </c>
      <c r="D17" s="1"/>
      <c r="E17" s="1"/>
      <c r="F17" s="1"/>
      <c r="G17" s="1"/>
      <c r="H17" s="1"/>
    </row>
    <row r="18" spans="1:16" ht="15.75" thickBot="1" x14ac:dyDescent="0.3">
      <c r="A18" s="81" t="s">
        <v>277</v>
      </c>
      <c r="B18" s="36"/>
      <c r="C18" s="1"/>
      <c r="D18" s="1"/>
      <c r="E18" s="1"/>
      <c r="F18" s="1"/>
      <c r="G18" s="1"/>
      <c r="H18" s="1"/>
    </row>
    <row r="19" spans="1:16" ht="15.75" thickBot="1" x14ac:dyDescent="0.3">
      <c r="A19" s="81" t="s">
        <v>327</v>
      </c>
      <c r="B19" s="36"/>
      <c r="C19" s="1"/>
      <c r="D19" s="1"/>
      <c r="E19" s="1"/>
      <c r="F19" s="1"/>
      <c r="G19" s="1"/>
      <c r="H19" s="1"/>
    </row>
    <row r="20" spans="1:16" ht="15.75" thickBot="1" x14ac:dyDescent="0.3">
      <c r="A20" s="223" t="s">
        <v>287</v>
      </c>
      <c r="B20" s="223"/>
      <c r="C20" s="1"/>
      <c r="D20" s="1"/>
      <c r="E20" s="1"/>
      <c r="F20" s="1"/>
      <c r="G20" s="1"/>
      <c r="H20" s="1"/>
    </row>
    <row r="21" spans="1:16" ht="15.75" thickBot="1" x14ac:dyDescent="0.3">
      <c r="A21" s="81" t="s">
        <v>270</v>
      </c>
      <c r="B21" s="36"/>
      <c r="C21" s="1"/>
      <c r="D21" s="1"/>
      <c r="E21" s="1"/>
      <c r="F21" s="1"/>
      <c r="G21" s="1"/>
      <c r="H21" s="1"/>
    </row>
    <row r="22" spans="1:16" ht="15.75" thickBot="1" x14ac:dyDescent="0.3">
      <c r="A22" s="81" t="s">
        <v>166</v>
      </c>
      <c r="B22" s="36"/>
      <c r="C22" s="1"/>
      <c r="D22" s="1"/>
      <c r="E22" s="1"/>
      <c r="F22" s="1"/>
      <c r="G22" s="1"/>
      <c r="H22" s="1"/>
    </row>
    <row r="23" spans="1:16" ht="15.75" thickBot="1" x14ac:dyDescent="0.3">
      <c r="A23" s="81" t="s">
        <v>174</v>
      </c>
      <c r="B23" s="36"/>
      <c r="C23" s="1"/>
      <c r="D23" s="1"/>
      <c r="E23" s="1"/>
      <c r="F23" s="1"/>
      <c r="G23" s="1"/>
      <c r="H23" s="1"/>
    </row>
    <row r="24" spans="1:16" ht="15.75" thickBot="1" x14ac:dyDescent="0.3">
      <c r="A24" s="81" t="s">
        <v>271</v>
      </c>
      <c r="B24" s="36"/>
      <c r="C24" s="1"/>
      <c r="D24" s="1"/>
      <c r="E24" s="1"/>
      <c r="F24" s="1"/>
      <c r="G24" s="1"/>
      <c r="H24" s="1"/>
    </row>
    <row r="25" spans="1:16" ht="15.75" thickBot="1" x14ac:dyDescent="0.3">
      <c r="A25" s="81" t="s">
        <v>171</v>
      </c>
      <c r="B25" s="36"/>
      <c r="C25" s="1"/>
      <c r="D25" s="1"/>
      <c r="E25" s="1"/>
      <c r="F25" s="1"/>
      <c r="G25" s="1"/>
      <c r="H25" s="1"/>
    </row>
    <row r="26" spans="1:16" ht="15.75" thickBot="1" x14ac:dyDescent="0.3">
      <c r="A26" s="81" t="s">
        <v>161</v>
      </c>
      <c r="B26" s="36"/>
      <c r="C26" s="1"/>
      <c r="D26" s="1"/>
      <c r="E26" s="1"/>
      <c r="F26" s="1"/>
      <c r="G26" s="1"/>
      <c r="H26" s="1"/>
    </row>
    <row r="27" spans="1:16" s="1" customFormat="1" x14ac:dyDescent="0.25">
      <c r="L27" s="8"/>
      <c r="M27" s="62" t="s">
        <v>147</v>
      </c>
      <c r="N27" s="62" t="s">
        <v>8</v>
      </c>
      <c r="O27" s="62" t="s">
        <v>9</v>
      </c>
      <c r="P27" s="8"/>
    </row>
    <row r="28" spans="1:16" s="1" customFormat="1" x14ac:dyDescent="0.25">
      <c r="L28" s="8"/>
      <c r="M28" s="62"/>
      <c r="N28" s="62"/>
      <c r="O28" s="62"/>
      <c r="P28" s="8"/>
    </row>
    <row r="29" spans="1:16" s="1" customFormat="1" x14ac:dyDescent="0.25">
      <c r="L29" s="8"/>
      <c r="M29" s="62" t="s">
        <v>10</v>
      </c>
      <c r="N29" s="62" t="s">
        <v>22</v>
      </c>
      <c r="O29" s="99" t="s">
        <v>29</v>
      </c>
      <c r="P29" s="8"/>
    </row>
    <row r="30" spans="1:16" s="1" customFormat="1" x14ac:dyDescent="0.25">
      <c r="L30" s="8"/>
      <c r="M30" s="99" t="s">
        <v>11</v>
      </c>
      <c r="N30" s="99" t="s">
        <v>23</v>
      </c>
      <c r="O30" s="99" t="s">
        <v>30</v>
      </c>
      <c r="P30" s="8"/>
    </row>
    <row r="31" spans="1:16" ht="15.75" thickBot="1" x14ac:dyDescent="0.3">
      <c r="A31" s="213" t="s">
        <v>0</v>
      </c>
      <c r="B31" s="213"/>
      <c r="C31" s="213"/>
      <c r="D31" s="213"/>
      <c r="E31" s="213"/>
      <c r="F31" s="213"/>
      <c r="G31" s="213"/>
      <c r="H31" s="213"/>
      <c r="M31" s="99" t="s">
        <v>12</v>
      </c>
      <c r="N31" s="99" t="s">
        <v>24</v>
      </c>
      <c r="O31" s="99" t="s">
        <v>31</v>
      </c>
    </row>
    <row r="32" spans="1:16" x14ac:dyDescent="0.25">
      <c r="A32" s="72" t="s">
        <v>272</v>
      </c>
      <c r="B32" s="208" t="s">
        <v>324</v>
      </c>
      <c r="C32" s="209"/>
      <c r="D32" s="209"/>
      <c r="E32" s="209"/>
      <c r="F32" s="1"/>
      <c r="G32" s="1"/>
      <c r="H32" s="147" t="s">
        <v>325</v>
      </c>
      <c r="M32" s="99" t="s">
        <v>13</v>
      </c>
      <c r="N32" s="99" t="s">
        <v>25</v>
      </c>
      <c r="O32" s="99" t="s">
        <v>32</v>
      </c>
    </row>
    <row r="33" spans="1:15" x14ac:dyDescent="0.25">
      <c r="A33" s="73" t="s">
        <v>2</v>
      </c>
      <c r="B33" s="74" t="s">
        <v>3</v>
      </c>
      <c r="C33" s="74" t="s">
        <v>4</v>
      </c>
      <c r="D33" s="74" t="s">
        <v>5</v>
      </c>
      <c r="E33" s="74" t="s">
        <v>6</v>
      </c>
      <c r="F33" s="74" t="s">
        <v>124</v>
      </c>
      <c r="G33" s="74" t="s">
        <v>125</v>
      </c>
      <c r="H33" s="74" t="s">
        <v>123</v>
      </c>
      <c r="M33" s="99" t="s">
        <v>14</v>
      </c>
      <c r="N33" s="99" t="s">
        <v>26</v>
      </c>
      <c r="O33" s="99" t="s">
        <v>33</v>
      </c>
    </row>
    <row r="34" spans="1:15" x14ac:dyDescent="0.25">
      <c r="A34" s="79" t="s">
        <v>148</v>
      </c>
      <c r="B34" s="102">
        <f>IF(B9=N29,"2",IF(B9=N30,"4",IF(B9=N31,"2",IF(B9=N32,"3",IF(B9=N33,6,IF(B9=N34,8,IF(B9=N35,12,IF(B9=N36,16,IF(B9=N37,20,IF(B9=N38,23,IF(B9=N39,25,0)))))))))))</f>
        <v>0</v>
      </c>
      <c r="C34" s="65">
        <f>IF(B9=N29,"7",IF(B9=N30,"9",IF(B9=N31,"3",IF(B9=N32,"5",IF(B9=N33,8,IF(B9=N34,11,IF(B9=N35,16,IF(B9=N36,18,IF(B9=N37,25,IF(B9=N38,27,IF(B9=N39,28,0)))))))))))</f>
        <v>0</v>
      </c>
      <c r="D34" s="65">
        <f>IF(B9=N29,"5",IF(B9=N30,"6",IF(B9=N31,"2",IF(B9=N32,"3",IF(B9=N33,6,IF(B9=N34,8,IF(B9=N35,12,IF(B9=N36,15,IF(B9=N37,19,IF(B9=N38,22,IF(B9=N39,24,0)))))))))))</f>
        <v>0</v>
      </c>
      <c r="E34" s="65">
        <f>IF(B9=N29,"6",IF(B9=N30,"7",IF(B9=N31,"Max de répétitions et minimum 3",IF(B9=N32,"Max de répétitions et minimum 4",IF(B9=N33,"Max de répétitions et minimum 7",IF(B9=N34,"Max de répétitions et minimum 9",IF(B9=N35,"Max de répétitions et minimum 13",IF(B9=N36,"Max de répétitions et minimum 16",IF(B9=N37,"Max de répétitions et minimum 20",IF(B9=N38,"Max de répétitions et minimum 21",IF(B9=N39,"Max de répétitions et minimum 25",0)))))))))))</f>
        <v>0</v>
      </c>
      <c r="F34" s="68" t="s">
        <v>127</v>
      </c>
      <c r="G34" s="68" t="s">
        <v>128</v>
      </c>
      <c r="H34" s="128" t="str">
        <f>IF(OR(B9=N29,B9=N30),"Toutes les répétitions en excentrique : voir vidéo","")</f>
        <v/>
      </c>
      <c r="M34" s="99" t="s">
        <v>15</v>
      </c>
      <c r="N34" s="99" t="s">
        <v>27</v>
      </c>
      <c r="O34" s="99" t="s">
        <v>34</v>
      </c>
    </row>
    <row r="35" spans="1:15" x14ac:dyDescent="0.25">
      <c r="A35" s="86" t="s">
        <v>147</v>
      </c>
      <c r="B35" s="103">
        <f>IF(B8=M29,"2",IF(B8=M30,"5",IF(B8=M31,"8",IF(B8=M32,"12",IF(B8=M33,14,IF(B8=M34,17,IF(B8=M35,22,IF(B8=M36,27,IF(B8=M37,30,IF(B8=M38,30,IF(B8=M39,30,IF(B8=M40,35,0))))))))))))</f>
        <v>0</v>
      </c>
      <c r="C35" s="68">
        <f>IF(B8=M29,"3",IF(B8=M30,"6",IF(B8=M31,"9",IF(B8=M32,"17",IF(B8=M33,18,IF(B8=M34,19,IF(B8=M35,24,IF(B8=M36,29,IF(B8=M37,34,IF(B8=M38,39,IF(B8=M39,44,IF(B8=M40,49,0))))))))))))</f>
        <v>0</v>
      </c>
      <c r="D35" s="68">
        <f>IF(B8=M29,"2",IF(B8=M30,"4",IF(B8=M31,"7",IF(B8=M32,"13",IF(B8=M33,14,IF(B8=M34,15,IF(B8=M35,20,IF(B8=M36,25,IF(B8=M37,30,IF(B8=M38,35,IF(B8=M39,40,IF(B8=M40,45,0))))))))))))</f>
        <v>0</v>
      </c>
      <c r="E35" s="68">
        <f>IF(B8=M29,"Max de répétitions et minimum 3",IF(B8=M30,"Max de répétitions et minimum 5",IF(B8=M31,"Max de répétitions et minimum 8",IF(B8=M32,"Max de répétitions et minimum 17",IF(B8=M33,"Max de répétitions et minimum 20",IF(B8=M34,"Max de répétitions et minimum 20",IF(B8=M35,"Max de répétitions et minimum 25",IF(B8=M36,"Max de répétitions et minimum 35",IF(B8=M37,"Max de répétitions et minimum 40",IF(B8=M38,"Max de répétitions et minimum 42",IF(B8=M39,"Max de répétitions et minimum 55",IF(B8=M40,"Max de répétitions et minimum 55",0))))))))))))</f>
        <v>0</v>
      </c>
      <c r="F35" s="68" t="s">
        <v>127</v>
      </c>
      <c r="G35" s="68" t="s">
        <v>128</v>
      </c>
      <c r="H35" s="70"/>
      <c r="M35" s="99" t="s">
        <v>16</v>
      </c>
      <c r="N35" s="99" t="s">
        <v>13</v>
      </c>
      <c r="O35" s="99" t="s">
        <v>35</v>
      </c>
    </row>
    <row r="36" spans="1:15" x14ac:dyDescent="0.25">
      <c r="A36" s="86" t="s">
        <v>252</v>
      </c>
      <c r="B36" s="103">
        <f>IF(B10=M29,"2",IF(B10=M30,"5",IF(B10=M31,"8",IF(B10=M32,"12",IF(B10=M33,14,IF(B10=M34,17,IF(B10=M35,22,IF(B10=M36,27,IF(B10=M37,30,IF(B10=M38,30,IF(B10=M39,30,IF(B10=M40,35,0))))))))))))</f>
        <v>0</v>
      </c>
      <c r="C36" s="68">
        <f>IF(B10=M29,"3",IF(B10=M30,"6",IF(B10=M31,"9",IF(B10=M32,"17",IF(B10=M33,18,IF(B10=M34,19,IF(B10=M35,24,IF(B10=M36,29,IF(B10=M37,34,IF(B10=M38,39,IF(B10=M39,44,IF(B10=M40,49,0))))))))))))</f>
        <v>0</v>
      </c>
      <c r="D36" s="68">
        <f>IF(B10=M29,"Max de répétitions et minimum 3",IF(B10=M30,"Max de répétitions et minimum 5",IF(B10=M31,"Max de répétitions et minimum 8",IF(B10=M32,"Max de répétitions et minimum 17",IF(B10=M33,"Max de répétitions et minimum 20",IF(B10=M34,"Max de répétitions et minimum 20",IF(B10=M35,"Max de répétitions et minimum 25",IF(B10=M36,"Max de répétitions et minimum 35",IF(B10=M37,"Max de répétitions et minimum 40",IF(B10=M38,"Max de répétitions et minimum 42",IF(B10=M39,"Max de répétitions et minimum 55",IF(B10=M40,"Max de répétitions et minimum 55",0))))))))))))</f>
        <v>0</v>
      </c>
      <c r="E36" s="112"/>
      <c r="F36" s="68" t="s">
        <v>131</v>
      </c>
      <c r="G36" s="68" t="s">
        <v>127</v>
      </c>
      <c r="H36" s="69"/>
      <c r="M36" s="99" t="s">
        <v>17</v>
      </c>
      <c r="N36" s="99" t="s">
        <v>14</v>
      </c>
      <c r="O36" s="99" t="s">
        <v>36</v>
      </c>
    </row>
    <row r="37" spans="1:15" x14ac:dyDescent="0.25">
      <c r="A37" s="86" t="s">
        <v>273</v>
      </c>
      <c r="B37" s="103">
        <f>IF(B11=N29,"2",IF(B11=N30,"4",IF(B11=N31,"2",IF(B11=N32,"3",IF(B11=N33,6,IF(B11=N34,8,IF(B11=N35,12,IF(B11=N36,16,IF(B11=N37,20,IF(B11=N38,23,IF(B11=N39,25,0)))))))))))</f>
        <v>0</v>
      </c>
      <c r="C37" s="68">
        <f>IF(B11=N29,"3",IF(B11=N30,"4",IF(B11=N31,"3",IF(B11=N32,"5",IF(B11=N33,8,IF(B11=N34,11,IF(B11=N35,16,IF(B11=N36,18,IF(B11=N37,25,IF(B11=N38,27,IF(B11=N39,28,0)))))))))))</f>
        <v>0</v>
      </c>
      <c r="D37" s="68">
        <f>IF(B11=N29,"Max de répétitions",IF(B11=N30,"Max de répétitions",IF(B11=N31,"2",IF(B11=N32,"3",IF(B11=N33,6,IF(B11=N34,8,IF(B11=N35,12,IF(B11=N36,15,IF(B11=N37,19,IF(B11=N38,22,IF(B11=N39,24,0)))))))))))</f>
        <v>0</v>
      </c>
      <c r="E37" s="112"/>
      <c r="F37" s="68" t="s">
        <v>131</v>
      </c>
      <c r="G37" s="68" t="s">
        <v>127</v>
      </c>
      <c r="H37" s="70"/>
      <c r="M37" s="99" t="s">
        <v>18</v>
      </c>
      <c r="N37" s="99" t="s">
        <v>15</v>
      </c>
      <c r="O37" s="99" t="s">
        <v>37</v>
      </c>
    </row>
    <row r="38" spans="1:15" x14ac:dyDescent="0.25">
      <c r="A38" s="79" t="s">
        <v>274</v>
      </c>
      <c r="B38" s="103">
        <f>IF(B12=N29,"2",IF(B12=N30,"4",IF(B12=N31,"2",IF(B12=N32,"3",IF(B12=N33,6,IF(B12=N34,8,IF(B12=N35,12,IF(B12=N36,16,IF(B12=N37,20,IF(B12=N38,23,IF(B12=N39,25,0)))))))))))</f>
        <v>0</v>
      </c>
      <c r="C38" s="68">
        <f>IF(B12=N29,"3",IF(B12=N30,"4",IF(B12=N31,"3",IF(B12=N32,"5",IF(B12=N33,8,IF(B12=N34,11,IF(B12=N35,16,IF(B12=N36,18,IF(B12=N37,25,IF(B12=N38,27,IF(B12=N39,28,0)))))))))))</f>
        <v>0</v>
      </c>
      <c r="D38" s="68">
        <f>IF(B12=N29,"Max de répétitions",IF(B12=N30,"7",IF(B12=N31,"Max de répétitions et minimum 3",IF(B12=N32,"Max de répétitions et minimum 4",IF(B12=N33,"Max de répétitions et minimum 7",IF(B12=N34,"Max de répétitions et minimum 9",IF(B12=N35,"Max de répétitions et minimum 13",IF(B12=N36,"Max de répétitions et minimum 16",IF(B12=N37,"Max de répétitions et minimum 20",IF(B12=N38,"Max de répétitions et minimum 21",IF(B12=N39,"Max de répétitions et minimum 25",0)))))))))))</f>
        <v>0</v>
      </c>
      <c r="E38" s="112"/>
      <c r="F38" s="68" t="s">
        <v>131</v>
      </c>
      <c r="G38" s="68" t="s">
        <v>127</v>
      </c>
      <c r="H38" s="113"/>
      <c r="M38" s="99" t="s">
        <v>19</v>
      </c>
      <c r="N38" s="99" t="s">
        <v>16</v>
      </c>
      <c r="O38" s="99" t="s">
        <v>38</v>
      </c>
    </row>
    <row r="39" spans="1:15" x14ac:dyDescent="0.25">
      <c r="A39" s="79" t="s">
        <v>282</v>
      </c>
      <c r="B39" s="103">
        <f>IF(B13=N29,"2",IF(B13=N30,"4",IF(B13=N31,"2",IF(B13=N32,"3",IF(B13=N33,6,IF(B13=N34,8,IF(B13=N35,12,IF(B13=N36,16,IF(B13=N37,20,IF(B13=N38,23,IF(B13=N39,25,0)))))))))))</f>
        <v>0</v>
      </c>
      <c r="C39" s="68">
        <f>IF(B13=N29,"3",IF(B13=N30,"4",IF(B13=N31,"3",IF(B13=N32,"5",IF(B13=N33,8,IF(B13=N34,11,IF(B13=N35,16,IF(B13=N36,18,IF(B13=N37,25,IF(B13=N38,27,IF(B13=N39,28,0)))))))))))</f>
        <v>0</v>
      </c>
      <c r="D39" s="68">
        <f>IF(B13=N29,"Max de répétitions",IF(B13=N30,"7",IF(B13=N31,"Max de répétitions et minimum 3",IF(B13=N32,"Max de répétitions et minimum 4",IF(B13=N33,"Max de répétitions et minimum 7",IF(B13=N34,"Max de répétitions et minimum 9",IF(B13=N35,"Max de répétitions et minimum 13",IF(B13=N36,"Max de répétitions et minimum 16",IF(B13=N37,"Max de répétitions et minimum 20",IF(B13=N38,"Max de répétitions et minimum 21",IF(B13=N39,"Max de répétitions et minimum 25",0)))))))))))</f>
        <v>0</v>
      </c>
      <c r="E39" s="112"/>
      <c r="F39" s="68" t="s">
        <v>131</v>
      </c>
      <c r="G39" s="112"/>
      <c r="H39" s="113"/>
      <c r="M39" s="99" t="s">
        <v>20</v>
      </c>
      <c r="N39" s="99" t="s">
        <v>28</v>
      </c>
      <c r="O39" s="99" t="s">
        <v>39</v>
      </c>
    </row>
    <row r="40" spans="1:15" ht="15.75" thickBot="1" x14ac:dyDescent="0.3">
      <c r="A40" s="214" t="s">
        <v>289</v>
      </c>
      <c r="B40" s="215"/>
      <c r="C40" s="215"/>
      <c r="D40" s="215"/>
      <c r="E40" s="215"/>
      <c r="F40" s="215"/>
      <c r="G40" s="215"/>
      <c r="H40" s="215"/>
      <c r="M40" s="99" t="s">
        <v>21</v>
      </c>
      <c r="N40" s="62"/>
      <c r="O40" s="99" t="s">
        <v>40</v>
      </c>
    </row>
    <row r="41" spans="1:15" x14ac:dyDescent="0.25">
      <c r="A41" s="72" t="s">
        <v>286</v>
      </c>
      <c r="B41" s="208" t="s">
        <v>324</v>
      </c>
      <c r="C41" s="209"/>
      <c r="D41" s="209"/>
      <c r="E41" s="209"/>
      <c r="F41" s="1"/>
      <c r="G41" s="1"/>
      <c r="H41" s="147" t="s">
        <v>325</v>
      </c>
      <c r="M41" s="62"/>
      <c r="N41" s="62"/>
      <c r="O41" s="99" t="s">
        <v>41</v>
      </c>
    </row>
    <row r="42" spans="1:15" x14ac:dyDescent="0.25">
      <c r="A42" s="73" t="s">
        <v>2</v>
      </c>
      <c r="B42" s="74" t="s">
        <v>3</v>
      </c>
      <c r="C42" s="74" t="s">
        <v>4</v>
      </c>
      <c r="D42" s="74" t="s">
        <v>5</v>
      </c>
      <c r="E42" s="74" t="s">
        <v>6</v>
      </c>
      <c r="F42" s="74" t="s">
        <v>124</v>
      </c>
      <c r="G42" s="74" t="s">
        <v>125</v>
      </c>
      <c r="H42" s="74" t="s">
        <v>123</v>
      </c>
      <c r="M42" s="62"/>
      <c r="N42" s="62"/>
      <c r="O42" s="99" t="s">
        <v>42</v>
      </c>
    </row>
    <row r="43" spans="1:15" x14ac:dyDescent="0.25">
      <c r="A43" s="79" t="s">
        <v>155</v>
      </c>
      <c r="B43" s="68">
        <f>IF(B16=N29,"2",IF(B16=N30,"4",IF(B16=N31,"2",IF(B16=N32,"3",IF(B16=N33,6,IF(B16=N34,8,IF(B16=N35,12,IF(B16=N36,16,IF(B16=N37,20,IF(B16=N38,23,IF(B16=N39,25,0)))))))))))</f>
        <v>0</v>
      </c>
      <c r="C43" s="68">
        <f>IF(B16=N29,"7",IF(B16=N30,"9",IF(B16=N31,"3",IF(B16=N32,"5",IF(B16=N33,8,IF(B16=N34,11,IF(B16=N35,16,IF(B16=N36,18,IF(B16=N37,25,IF(B16=N38,27,IF(B16=N39,28,0)))))))))))</f>
        <v>0</v>
      </c>
      <c r="D43" s="68">
        <f>IF(B16=N29,"5",IF(B16=N30,"6",IF(B16=N31,"2",IF(B16=N32,"3",IF(B16=N33,6,IF(B16=N34,8,IF(B16=N35,12,IF(B16=N36,15,IF(B16=N37,19,IF(B16=N38,22,IF(B16=N39,24,0)))))))))))</f>
        <v>0</v>
      </c>
      <c r="E43" s="68">
        <f>IF(B16=N29,"6",IF(B16=N30,"7",IF(B16=N31,"Max de répétitions et minimum 3",IF(B16=N32,"Max de répétitions et minimum 4",IF(B16=N33,"Max de répétitions et minimum 7",IF(B16=N34,"Max de répétitions et minimum 9",IF(B16=N35,"Max de répétitions et minimum 13",IF(B16=N36,"Max de répétitions et minimum 16",IF(B16=N37,"Max de répétitions et minimum 20",IF(B16=N38,"Max de répétitions et minimum 21",IF(B16=N39,"Max de répétitions et minimum 25",0)))))))))))</f>
        <v>0</v>
      </c>
      <c r="F43" s="68" t="s">
        <v>128</v>
      </c>
      <c r="G43" s="68" t="s">
        <v>127</v>
      </c>
      <c r="H43" s="76" t="str">
        <f>IF(OR(B16=N29,B16=N30),"Toutes les répétitions en excentrique","")</f>
        <v/>
      </c>
    </row>
    <row r="44" spans="1:15" x14ac:dyDescent="0.25">
      <c r="A44" s="79" t="s">
        <v>328</v>
      </c>
      <c r="B44" s="68">
        <f>IF(B15=N29,"2",IF(B15=N30,"4",IF(B15=N31,"2",IF(B15=N32,"3",IF(B15=N33,6,IF(B15=N34,8,IF(B15=N35,12,IF(B15=N36,16,IF(B15=N37,20,IF(B15=N38,23,IF(B15=N39,25,0)))))))))))</f>
        <v>0</v>
      </c>
      <c r="C44" s="68">
        <f>IF(B15=N29,"3",IF(B15=N30,"4",IF(B15=N31,"3",IF(B15=N32,"5",IF(B15=N33,8,IF(B15=N34,11,IF(B15=N35,16,IF(B15=N36,18,IF(B15=N37,25,IF(B15=N38,27,IF(B15=N39,28,0)))))))))))</f>
        <v>0</v>
      </c>
      <c r="D44" s="68">
        <f>IF(B15=N29,"2",IF(B15=N30,"3",IF(B15=N31,"2",IF(B15=N32,"3",IF(B15=N33,6,IF(B15=N34,8,IF(B15=N35,12,IF(B15=N36,15,IF(B15=N37,19,IF(B15=N38,22,IF(B15=N39,24,0)))))))))))</f>
        <v>0</v>
      </c>
      <c r="E44" s="68">
        <f>IF(B15=N29,"Max de répétitions",IF(B15=N30,"Max de répétitions",IF(B15=N31,"Max de répétitions et minimum 3",IF(B15=N32,"Max de répétitions et minimum 4",IF(B15=N33,"Max de répétitions et minimum 7",IF(B15=N34,"Max de répétitions et minimum 9",IF(B15=N35,"Max de répétitions et minimum 13",IF(B15=N36,"Max de répétitions et minimum 16",IF(B15=N37,"Max de répétitions et minimum 20",IF(B15=N38,"Max de répétitions et minimum 21",IF(B15=N39,"Max de répétitions et minimum 25",0)))))))))))</f>
        <v>0</v>
      </c>
      <c r="F44" s="68" t="s">
        <v>131</v>
      </c>
      <c r="G44" s="68" t="s">
        <v>131</v>
      </c>
      <c r="H44" s="68"/>
    </row>
    <row r="45" spans="1:15" x14ac:dyDescent="0.25">
      <c r="A45" s="79" t="s">
        <v>277</v>
      </c>
      <c r="B45" s="68">
        <f>IF(B18=N29,"2",IF(B18=N30,"4",IF(B18=N31,"2",IF(B18=N32,"3",IF(B18=N33,6,IF(B18=N34,8,IF(B18=N35,12,IF(B18=N36,16,IF(B18=N37,20,IF(B18=N38,23,IF(B18=N39,25,0)))))))))))</f>
        <v>0</v>
      </c>
      <c r="C45" s="68">
        <f>IF(B18=N29,"3",IF(B18=N30,"4",IF(B18=N31,"3",IF(B18=N32,"5",IF(B18=N33,8,IF(B18=N34,11,IF(B18=N35,16,IF(B18=N36,18,IF(B18=N37,25,IF(B18=N38,27,IF(B18=N39,28,0)))))))))))</f>
        <v>0</v>
      </c>
      <c r="D45" s="68">
        <f>IF(B18=N29,"Max de répétitions",IF(B18=N30,"Max de répétitions",IF(B18=N31,"Max de répétitions et minimum 3",IF(B18=N32,"Max de répétitions et minimum 4",IF(B18=N33,"Max de répétitions et minimum 7",IF(B18=N34,"Max de répétitions et minimum 9",IF(B18=N35,"Max de répétitions et minimum 13",IF(B18=N36,"Max de répétitions et minimum 16",IF(B18=N37,"Max de répétitions et minimum 20",IF(B18=N38,"Max de répétitions et minimum 21",IF(B18=N39,"Max de répétitions et minimum 25",0)))))))))))</f>
        <v>0</v>
      </c>
      <c r="E45" s="112"/>
      <c r="F45" s="68" t="s">
        <v>131</v>
      </c>
      <c r="G45" s="68" t="s">
        <v>131</v>
      </c>
      <c r="H45" s="68"/>
    </row>
    <row r="46" spans="1:15" x14ac:dyDescent="0.25">
      <c r="A46" s="79" t="s">
        <v>157</v>
      </c>
      <c r="B46" s="68">
        <f>IF(B17=N29,"2",IF(B17=N30,"4",IF(B17=N31,"2",IF(B17=N32,"3",IF(B17=N33,6,IF(B17=N34,8,IF(B17=N35,12,IF(B17=N36,16,IF(B17=N37,20,IF(B17=N38,23,IF(B17=N39,25,0)))))))))))</f>
        <v>0</v>
      </c>
      <c r="C46" s="68">
        <f>IF(B17=N29,"3",IF(B17=N30,"4",IF(B17=N31,"3",IF(B17=N32,"5",IF(B17=N33,8,IF(B17=N34,11,IF(B17=N35,16,IF(B17=N36,18,IF(B17=N37,25,IF(B17=N38,27,IF(B17=N39,28,0)))))))))))</f>
        <v>0</v>
      </c>
      <c r="D46" s="68">
        <f>IF(B17=N29,"Max de répétitions",IF(B17=N30,"Max de répétitions",IF(B17=N31,"Max de répétitions et minimum 3",IF(B17=N32,"Max de répétitions et minimum 4",IF(B17=N33,"Max de répétitions et minimum 7",IF(B17=N34,"Max de répétitions et minimum 9",IF(B17=N35,"Max de répétitions et minimum 13",IF(B17=N36,"Max de répétitions et minimum 16",IF(B17=N37,"Max de répétitions et minimum 20",IF(B17=N38,"Max de répétitions et minimum 21",IF(B17=N39,"Max de répétitions et minimum 25",0)))))))))))</f>
        <v>0</v>
      </c>
      <c r="E46" s="112"/>
      <c r="F46" s="68" t="s">
        <v>131</v>
      </c>
      <c r="G46" s="68" t="s">
        <v>131</v>
      </c>
      <c r="H46" s="68"/>
    </row>
    <row r="47" spans="1:15" x14ac:dyDescent="0.25">
      <c r="A47" s="79" t="s">
        <v>327</v>
      </c>
      <c r="B47" s="68">
        <f>IF(B19=N29,"2",IF(B19=N30,"4",IF(B19=N31,"2",IF(B19=N32,"3",IF(B19=N33,6,IF(B19=N34,8,IF(B19=N35,12,IF(B19=N36,16,IF(B19=N37,20,IF(B19=N38,23,IF(B19=N39,25,0)))))))))))</f>
        <v>0</v>
      </c>
      <c r="C47" s="68">
        <f>IF(B19=N29,"3",IF(B19=N30,"4",IF(B19=N31,"3",IF(B19=N32,"5",IF(B19=N33,8,IF(B19=N34,11,IF(B19=N35,16,IF(B19=N36,18,IF(B19=N37,25,IF(B19=N38,27,IF(B19=N39,28,0)))))))))))</f>
        <v>0</v>
      </c>
      <c r="D47" s="68">
        <f>IF(B19=N29,"Max de répétitions",IF(B19=N30,"Max de répétitions",IF(B19=N31,"Max de répétitions et minimum 3",IF(B19=N32,"Max de répétitions et minimum 4",IF(B19=N33,"Max de répétitions et minimum 7",IF(B19=N34,"Max de répétitions et minimum 9",IF(B19=N35,"Max de répétitions et minimum 13",IF(B19=N36,"Max de répétitions et minimum 16",IF(B19=N37,"Max de répétitions et minimum 20",IF(B19=N38,"Max de répétitions et minimum 21",IF(B19=N39,"Max de répétitions et minimum 25",0)))))))))))</f>
        <v>0</v>
      </c>
      <c r="E47" s="112"/>
      <c r="F47" s="68" t="s">
        <v>131</v>
      </c>
      <c r="G47" s="112"/>
      <c r="H47" s="68"/>
    </row>
    <row r="48" spans="1:15" ht="15.75" thickBot="1" x14ac:dyDescent="0.3">
      <c r="A48" s="214" t="s">
        <v>290</v>
      </c>
      <c r="B48" s="215"/>
      <c r="C48" s="215"/>
      <c r="D48" s="215"/>
      <c r="E48" s="215"/>
      <c r="F48" s="215"/>
      <c r="G48" s="215"/>
      <c r="H48" s="215"/>
    </row>
    <row r="49" spans="1:8" x14ac:dyDescent="0.25">
      <c r="A49" s="72" t="s">
        <v>291</v>
      </c>
      <c r="B49" s="208" t="s">
        <v>324</v>
      </c>
      <c r="C49" s="209"/>
      <c r="D49" s="209"/>
      <c r="E49" s="209"/>
      <c r="F49" s="1"/>
      <c r="G49" s="1"/>
      <c r="H49" s="147" t="s">
        <v>325</v>
      </c>
    </row>
    <row r="50" spans="1:8" x14ac:dyDescent="0.25">
      <c r="A50" s="73" t="s">
        <v>2</v>
      </c>
      <c r="B50" s="74" t="s">
        <v>3</v>
      </c>
      <c r="C50" s="74" t="s">
        <v>4</v>
      </c>
      <c r="D50" s="74" t="s">
        <v>5</v>
      </c>
      <c r="E50" s="74" t="s">
        <v>6</v>
      </c>
      <c r="F50" s="74" t="s">
        <v>124</v>
      </c>
      <c r="G50" s="74" t="s">
        <v>125</v>
      </c>
      <c r="H50" s="74" t="s">
        <v>123</v>
      </c>
    </row>
    <row r="51" spans="1:8" x14ac:dyDescent="0.25">
      <c r="A51" s="79" t="s">
        <v>270</v>
      </c>
      <c r="B51" s="68">
        <f>IF(B21=N29,"2",IF(B21=N30,"4",IF(B21=N31,"2",IF(B21=N32,"3",IF(B21=N33,6,IF(B21=N34,8,IF(B21=N35,12,IF(B21=N36,16,IF(B21=N37,20,IF(B21=N38,23,IF(B21=N39,25,0)))))))))))</f>
        <v>0</v>
      </c>
      <c r="C51" s="68">
        <f>IF(B21=N29,"3",IF(B21=N30,"4",IF(B21=N31,"3",IF(B21=N32,"5",IF(B21=N33,8,IF(B21=N34,11,IF(B21=N35,16,IF(B21=N36,18,IF(B21=N37,25,IF(B21=N38,27,IF(B21=N39,28,0)))))))))))</f>
        <v>0</v>
      </c>
      <c r="D51" s="68">
        <f>IF(B21=N29,"2",IF(B21=N30,"3",IF(B21=N31,"2",IF(B21=N32,"3",IF(B21=N33,6,IF(B21=N34,8,IF(B21=N35,12,IF(B21=N36,15,IF(B21=N37,19,IF(B21=N38,22,IF(B21=N39,24,0)))))))))))</f>
        <v>0</v>
      </c>
      <c r="E51" s="68">
        <f>IF(B21=N29,"Max de répétitions",IF(B21=N30,"Max de répétitions",IF(B21=N31,"Max de répétitions et minimum 3",IF(B21=N32,"Max de répétitions et minimum 4",IF(B21=N33,"Max de répétitions et minimum 7",IF(B21=N34,"Max de répétitions et minimum 9",IF(B21=N35,"Max de répétitions et minimum 13",IF(B21=N36,"Max de répétitions et minimum 16",IF(B21=N37,"Max de répétitions et minimum 20",IF(B21=N38,"Max de répétitions et minimum 21",IF(B21=N39,"Max de répétitions et minimum 25",0)))))))))))</f>
        <v>0</v>
      </c>
      <c r="F51" s="68" t="s">
        <v>130</v>
      </c>
      <c r="G51" s="68" t="s">
        <v>127</v>
      </c>
      <c r="H51" s="68"/>
    </row>
    <row r="52" spans="1:8" x14ac:dyDescent="0.25">
      <c r="A52" s="79" t="s">
        <v>174</v>
      </c>
      <c r="B52" s="68">
        <f>IF(B23=N29,"2",IF(B23=N30,"4",IF(B23=N31,"2",IF(B23=N32,"3",IF(B23=N33,6,IF(B23=N34,8,IF(B23=N35,12,IF(B23=N36,16,IF(B23=N37,20,IF(B23=N38,23,IF(B23=N39,25,0)))))))))))</f>
        <v>0</v>
      </c>
      <c r="C52" s="68">
        <f>IF(B23=N29,"3",IF(B23=N30,"4",IF(B23=N31,"3",IF(B23=N32,"5",IF(B23=N33,8,IF(B23=N34,11,IF(B23=N35,16,IF(B23=N36,18,IF(B23=N37,25,IF(B23=N38,27,IF(B23=N39,28,0)))))))))))</f>
        <v>0</v>
      </c>
      <c r="D52" s="68">
        <f>IF(B23=N29,"2",IF(B23=N30,"3",IF(B23=N31,"2",IF(B23=N32,"3",IF(B23=N33,6,IF(B23=N34,8,IF(B23=N35,12,IF(B23=N36,15,IF(B23=N37,19,IF(B23=N38,22,IF(B23=N39,24,0)))))))))))</f>
        <v>0</v>
      </c>
      <c r="E52" s="68">
        <f>IF(B23=N29,"Max de répétitions",IF(B23=N30,"Max de répétitions",IF(B23=N31,"Max de répétitions et minimum 3",IF(B23=N32,"Max de répétitions et minimum 4",IF(B23=N33,"Max de répétitions et minimum 7",IF(B23=N34,"Max de répétitions et minimum 9",IF(B23=N35,"Max de répétitions et minimum 13",IF(B23=N36,"Max de répétitions et minimum 16",IF(B23=N37,"Max de répétitions et minimum 20",IF(B23=N38,"Max de répétitions et minimum 21",IF(B23=N39,"Max de répétitions et minimum 25",0)))))))))))</f>
        <v>0</v>
      </c>
      <c r="F52" s="68" t="s">
        <v>130</v>
      </c>
      <c r="G52" s="68" t="s">
        <v>128</v>
      </c>
      <c r="H52" s="76" t="s">
        <v>137</v>
      </c>
    </row>
    <row r="53" spans="1:8" x14ac:dyDescent="0.25">
      <c r="A53" s="79" t="s">
        <v>166</v>
      </c>
      <c r="B53" s="68">
        <f>IF(B22=N29,"2",IF(B22=N30,"4",IF(B22=N31,"2",IF(B22=N32,"3",IF(B22=N33,6,IF(B22=N34,8,IF(B22=N35,12,IF(B22=N36,16,IF(B22=N37,20,IF(B22=N38,23,IF(B22=N39,25,0)))))))))))</f>
        <v>0</v>
      </c>
      <c r="C53" s="68">
        <f>IF(B22=N29,"3",IF(B22=N30,"4",IF(B22=N31,"3",IF(B22=N32,"5",IF(B22=N33,8,IF(B22=N34,11,IF(B22=N35,16,IF(B22=N36,18,IF(B22=N37,25,IF(B22=N38,27,IF(B22=N39,28,0)))))))))))</f>
        <v>0</v>
      </c>
      <c r="D53" s="68">
        <f>IF(B22=N29,"Max de répétitions",IF(B22=N30,"Max de répétitions",IF(B22=N31,"Max de répétitions et minimum 3",IF(B22=N32,"Max de répétitions et minimum 4",IF(B22=N33,"Max de répétitions et minimum 7",IF(B22=N34,"Max de répétitions et minimum 9",IF(B22=N35,"Max de répétitions et minimum 13",IF(B22=N36,"Max de répétitions et minimum 16",IF(B22=N37,"Max de répétitions et minimum 20",IF(B22=N38,"Max de répétitions et minimum 21",IF(B22=N39,"Max de répétitions et minimum 25",0)))))))))))</f>
        <v>0</v>
      </c>
      <c r="E53" s="112"/>
      <c r="F53" s="68" t="s">
        <v>130</v>
      </c>
      <c r="G53" s="68" t="s">
        <v>128</v>
      </c>
      <c r="H53" s="68"/>
    </row>
    <row r="54" spans="1:8" x14ac:dyDescent="0.25">
      <c r="A54" s="79" t="s">
        <v>271</v>
      </c>
      <c r="B54" s="68">
        <f>IF(B24=N29,"2",IF(B24=N30,"4",IF(B24=N31,"2",IF(B24=N32,"3",IF(B24=N33,6,IF(B24=N34,8,IF(B24=N35,12,IF(B24=N36,16,IF(B24=N37,20,IF(B24=N38,23,IF(B24=N39,25,0)))))))))))</f>
        <v>0</v>
      </c>
      <c r="C54" s="68">
        <f>IF(B24=N29,"3",IF(B24=N30,"4",IF(B24=N31,"3",IF(B24=N32,"5",IF(B24=N33,8,IF(B24=N34,11,IF(B24=N35,16,IF(B24=N36,18,IF(B24=N37,25,IF(B24=N38,27,IF(B24=N39,28,0)))))))))))</f>
        <v>0</v>
      </c>
      <c r="D54" s="68">
        <f>IF(B24=N29,"Max de répétitions",IF(B24=N30,"Max de répétitions",IF(B24=N31,"Max de répétitions et minimum 3",IF(B24=N32,"Max de répétitions et minimum 4",IF(B24=N33,"Max de répétitions et minimum 7",IF(B24=N34,"Max de répétitions et minimum 9",IF(B24=N35,"Max de répétitions et minimum 13",IF(B24=N36,"Max de répétitions et minimum 16",IF(B24=N37,"Max de répétitions et minimum 20",IF(B24=N38,"Max de répétitions et minimum 21",IF(B24=N39,"Max de répétitions et minimum 25",0)))))))))))</f>
        <v>0</v>
      </c>
      <c r="E54" s="112"/>
      <c r="F54" s="68" t="s">
        <v>292</v>
      </c>
      <c r="G54" s="68" t="s">
        <v>292</v>
      </c>
      <c r="H54" s="68"/>
    </row>
    <row r="55" spans="1:8" x14ac:dyDescent="0.25">
      <c r="A55" s="79" t="s">
        <v>171</v>
      </c>
      <c r="B55" s="68">
        <f>IF(B25=M29,"2",IF(B25=M30,"5",IF(B25=M31,"8",IF(B25=M32,"12",IF(B25=M33,14,IF(B25=M34,17,IF(B25=M35,22,IF(B25=M36,27,IF(B25=M37,30,IF(B25=M38,30,IF(B25=M39,30,IF(B25=M40,35,0))))))))))))</f>
        <v>0</v>
      </c>
      <c r="C55" s="68">
        <f>IF(B25=M29,"3",IF(B25=M30,"6",IF(B25=M31,"9",IF(B25=M32,"17",IF(B25=M33,18,IF(B25=M34,19,IF(B25=M35,24,IF(B25=M36,29,IF(B25=M37,34,IF(B25=M38,39,IF(B25=M39,44,IF(B25=M40,49,0))))))))))))</f>
        <v>0</v>
      </c>
      <c r="D55" s="68">
        <f>IF(B25=M29,"Max de répétitions et minimum 3",IF(B25=M30,"Max de répétitions et minimum 5",IF(B25=M31,"Max de répétitions et minimum 8",IF(B25=M32,"Max de répétitions et minimum 17",IF(B25=M33,"Max de répétitions et minimum 20",IF(B25=M34,"Max de répétitions et minimum 20",IF(B25=M35,"Max de répétitions et minimum 25",IF(B25=M36,"Max de répétitions et minimum 35",IF(B25=M37,"Max de répétitions et minimum 40",IF(B25=M38,"Max de répétitions et minimum 42",IF(B25=M39,"Max de répétitions et minimum 55",IF(B25=M40,"Max de répétitions et minimum 55",0))))))))))))</f>
        <v>0</v>
      </c>
      <c r="E55" s="112"/>
      <c r="F55" s="68" t="s">
        <v>130</v>
      </c>
      <c r="G55" s="68" t="s">
        <v>293</v>
      </c>
      <c r="H55" s="68"/>
    </row>
    <row r="56" spans="1:8" x14ac:dyDescent="0.25">
      <c r="A56" s="79" t="s">
        <v>161</v>
      </c>
      <c r="B56" s="68">
        <f>IF(B26=N29,"2",IF(B26=N30,"4",IF(B26=N31,"2",IF(B26=N32,"3",IF(B26=N33,6,IF(B26=N34,8,IF(B26=N35,12,IF(B26=N36,16,IF(B26=N37,20,IF(B26=N38,23,IF(B26=N39,25,0)))))))))))</f>
        <v>0</v>
      </c>
      <c r="C56" s="68">
        <f>IF(B26=N29,"3",IF(B26=N30,"4",IF(B26=N31,"3",IF(B26=N32,"5",IF(B26=N33,8,IF(B26=N34,11,IF(B26=N35,16,IF(B26=N36,18,IF(B26=N37,25,IF(B26=N38,27,IF(B26=N39,28,0)))))))))))</f>
        <v>0</v>
      </c>
      <c r="D56" s="68">
        <f>IF(B26=N29,"Max de répétitions",IF(B26=N30,"Max de répétitions",IF(B26=N31,"Max de répétitions et minimum 3",IF(B26=N32,"Max de répétitions et minimum 4",IF(B26=N33,"Max de répétitions et minimum 7",IF(B26=N34,"Max de répétitions et minimum 9",IF(B26=N35,"Max de répétitions et minimum 13",IF(B26=N36,"Max de répétitions et minimum 16",IF(B26=N37,"Max de répétitions et minimum 20",IF(B26=N38,"Max de répétitions et minimum 21",IF(B26=N39,"Max de répétitions et minimum 25",0)))))))))))</f>
        <v>0</v>
      </c>
      <c r="E56" s="112"/>
      <c r="F56" s="68" t="s">
        <v>131</v>
      </c>
      <c r="G56" s="112"/>
      <c r="H56" s="68"/>
    </row>
    <row r="57" spans="1:8" x14ac:dyDescent="0.25">
      <c r="A57" s="214" t="s">
        <v>139</v>
      </c>
      <c r="B57" s="215"/>
      <c r="C57" s="215"/>
      <c r="D57" s="215"/>
      <c r="E57" s="215"/>
      <c r="F57" s="215"/>
      <c r="G57" s="215"/>
      <c r="H57" s="215"/>
    </row>
    <row r="58" spans="1:8" x14ac:dyDescent="0.25">
      <c r="A58" s="214" t="s">
        <v>140</v>
      </c>
      <c r="B58" s="215"/>
      <c r="C58" s="215"/>
      <c r="D58" s="215"/>
      <c r="E58" s="215"/>
      <c r="F58" s="215"/>
      <c r="G58" s="215"/>
      <c r="H58" s="215"/>
    </row>
    <row r="59" spans="1:8" x14ac:dyDescent="0.25">
      <c r="A59" s="77"/>
      <c r="B59" s="77"/>
      <c r="C59" s="77"/>
      <c r="D59" s="77"/>
      <c r="E59" s="77"/>
      <c r="F59" s="77"/>
      <c r="G59" s="77"/>
      <c r="H59" s="77"/>
    </row>
    <row r="60" spans="1:8" ht="15.75" thickBot="1" x14ac:dyDescent="0.3">
      <c r="A60" s="213" t="s">
        <v>141</v>
      </c>
      <c r="B60" s="213"/>
      <c r="C60" s="213"/>
      <c r="D60" s="213"/>
      <c r="E60" s="213"/>
      <c r="F60" s="213"/>
      <c r="G60" s="213"/>
      <c r="H60" s="213"/>
    </row>
    <row r="61" spans="1:8" x14ac:dyDescent="0.25">
      <c r="A61" s="72" t="s">
        <v>272</v>
      </c>
      <c r="B61" s="208" t="s">
        <v>324</v>
      </c>
      <c r="C61" s="209"/>
      <c r="D61" s="209"/>
      <c r="E61" s="209"/>
      <c r="F61" s="1"/>
      <c r="G61" s="1"/>
      <c r="H61" s="147" t="s">
        <v>325</v>
      </c>
    </row>
    <row r="62" spans="1:8" x14ac:dyDescent="0.25">
      <c r="A62" s="73" t="s">
        <v>2</v>
      </c>
      <c r="B62" s="74" t="s">
        <v>3</v>
      </c>
      <c r="C62" s="74" t="s">
        <v>4</v>
      </c>
      <c r="D62" s="74" t="s">
        <v>5</v>
      </c>
      <c r="E62" s="74" t="s">
        <v>6</v>
      </c>
      <c r="F62" s="74" t="s">
        <v>124</v>
      </c>
      <c r="G62" s="74" t="s">
        <v>125</v>
      </c>
      <c r="H62" s="74" t="s">
        <v>123</v>
      </c>
    </row>
    <row r="63" spans="1:8" x14ac:dyDescent="0.25">
      <c r="A63" s="86" t="s">
        <v>147</v>
      </c>
      <c r="B63" s="68">
        <f>IF(B8=M29,"3",IF(B8=M30,"6",IF(B8=M31,"9",IF(B8=M32,"14",IF(B8=M33,20,IF(B8=M34,10,IF(B8=M35,10,IF(B8=M36,19,IF(B8=M37,19,IF(B8=M38,20,IF(B8=M39,22,IF(B8=M40,22,0))))))))))))</f>
        <v>0</v>
      </c>
      <c r="C63" s="68">
        <f>IF(B8=M29,"4",IF(B8=M30,"7",IF(B8=M31,"10",IF(B8=M32,"19",IF(B8=M33,25,IF(B8=M34,13,IF(B8=M35,15,IF(B8=M36,22,IF(B8=M37,23,IF(B8=M38,23,IF(B8=M39,27,IF(B8=M40,30,0))))))))))))</f>
        <v>0</v>
      </c>
      <c r="D63" s="68">
        <f>IF(B8=M29,"2",IF(B8=M30,"6",IF(B8=M31,"8",IF(B8=M32,"14",IF(B8=M33,15,IF(B8=M34,10,IF(B8=M35,18,IF(B8=M36,18,IF(B8=M37,19,IF(B8=M38,20,IF(B8=M39,24,IF(B8=M40,24,0))))))))))))</f>
        <v>0</v>
      </c>
      <c r="E63" s="68">
        <f>IF(B8=M29,"Max de répétitions et minimum 4",IF(B8=M30,"Max de répétitions et minimum 7",IF(B8=M31,"Max de répétitions et minimum 10",IF(B8=M32,"Max de répétitions et minimum 19",IF(B8=M33,"Max de répétitions et minimum 23",IF(B8=M34,"Max de répétitions et minimum 25",IF(B8=M35,"Max de répétitions et minimum 30",IF(B8=M36,"Max de répétitions et minimum 35",IF(B8=M37,"Max de répétitions et minimum 37",IF(B8=M38,"Max de répétitions et minimum 53",IF(B8=M39,"Max de répétitions et minimum 58",IF(B8=M40,"Max de répétitions et minimum 59",0))))))))))))</f>
        <v>0</v>
      </c>
      <c r="F63" s="68" t="s">
        <v>127</v>
      </c>
      <c r="G63" s="68" t="s">
        <v>128</v>
      </c>
      <c r="H63" s="76"/>
    </row>
    <row r="64" spans="1:8" x14ac:dyDescent="0.25">
      <c r="A64" s="86" t="s">
        <v>252</v>
      </c>
      <c r="B64" s="68">
        <f>IF(B10=M29,"3",IF(B10=M30,"6",IF(B10=M31,"9",IF(B10=M32,"14",IF(B10=M33,20,IF(B10=M34,10,IF(B10=M35,10,IF(B10=M36,19,IF(B10=M37,19,IF(B10=M38,20,IF(B10=M39,22,IF(B10=M40,22,0))))))))))))</f>
        <v>0</v>
      </c>
      <c r="C64" s="68">
        <f>IF(B10=M29,"4",IF(B10=M30,"7",IF(B10=M31,"10",IF(B10=M32,"19",IF(B10=M33,25,IF(B10=M34,13,IF(B10=M35,15,IF(B10=M36,22,IF(B10=M37,23,IF(B10=M38,23,IF(B10=M39,27,IF(B10=M40,30,0))))))))))))</f>
        <v>0</v>
      </c>
      <c r="D64" s="68">
        <f>IF(B10=M29,"2",IF(B10=M30,"6",IF(B10=M31,"8",IF(B10=M32,"14",IF(B10=M33,15,IF(B10=M34,10,IF(B10=M35,18,IF(B10=M36,18,IF(B10=M37,19,IF(B10=M38,20,IF(B10=M39,24,IF(B10=M40,24,0))))))))))))</f>
        <v>0</v>
      </c>
      <c r="E64" s="68">
        <f>IF(B10=M29,"Max de répétitions et minimum 4",IF(B10=M30,"Max de répétitions et minimum 7",IF(B10=M31,"Max de répétitions et minimum 10",IF(B10=M32,"Max de répétitions et minimum 19",IF(B10=M33,"Max de répétitions et minimum 23",IF(B10=M34,"Max de répétitions et minimum 25",IF(B10=M35,"Max de répétitions et minimum 30",IF(B10=M36,"Max de répétitions et minimum 35",IF(B10=M37,"Max de répétitions et minimum 37",IF(B10=M38,"Max de répétitions et minimum 53",IF(B10=M39,"Max de répétitions et minimum 58",IF(B10=M40,"Max de répétitions et minimum 59",0))))))))))))</f>
        <v>0</v>
      </c>
      <c r="F64" s="68" t="s">
        <v>131</v>
      </c>
      <c r="G64" s="68" t="s">
        <v>127</v>
      </c>
      <c r="H64" s="68"/>
    </row>
    <row r="65" spans="1:8" x14ac:dyDescent="0.25">
      <c r="A65" s="79" t="s">
        <v>148</v>
      </c>
      <c r="B65" s="68">
        <f>IF(B9=N29,"3",IF(B9=N30,"5",IF(B9=N31,"2",IF(B9=N32,"4",IF(B9=N33,6,IF(B9=N34,9,IF(B9=N35,13,IF(B9=N36,16,IF(B9=N37,22,IF(B9=N38,24,IF(B9=N39,25,0)))))))))))</f>
        <v>0</v>
      </c>
      <c r="C65" s="68">
        <f>IF(B9=N29,"8",IF(B9=N30,"9",IF(B9=N31,"3",IF(B9=N32,"6",IF(B9=N33,9,IF(B9=N34,12,IF(B9=N35,16,IF(B9=N36,20,IF(B9=N37,25,IF(B9=N38,28,IF(B9=N39,29,0)))))))))))</f>
        <v>0</v>
      </c>
      <c r="D65" s="68">
        <f>IF(B9=N29,"6",IF(B9=N30,"7",IF(B9=N31,"Max de répétitions et minimum 4",IF(B9=N32,"Max de répétitions et minimum 6",IF(B9=N33,"Max de répétitions et minimum 9",IF(B9=N34,"Max de répétitions et minimum 11",IF(B9=N35,"Max de répétitions et minimum 16",IF(B9=N36,"Max de répétitions et minimum 19",IF(B9=N37,"Max de répétitions et minimum 25",IF(B9=N38,"Max de répétitions et minimum 28",IF(B9=N39,"Max de répétitions et minimum 28",0)))))))))))</f>
        <v>0</v>
      </c>
      <c r="E65" s="112"/>
      <c r="F65" s="68" t="s">
        <v>127</v>
      </c>
      <c r="G65" s="68" t="s">
        <v>128</v>
      </c>
      <c r="H65" s="114" t="str">
        <f>IF(OR(B9=N29,B9=N30),"Toutes les répétitions en excentrique : voir vidéo","")</f>
        <v/>
      </c>
    </row>
    <row r="66" spans="1:8" x14ac:dyDescent="0.25">
      <c r="A66" s="86" t="s">
        <v>273</v>
      </c>
      <c r="B66" s="68">
        <f>IF(B11=N29,"3",IF(B11=N30,"5",IF(B11=N31,"2",IF(B11=N32,"4",IF(B11=N33,6,IF(B11=N34,9,IF(B11=N35,13,IF(B11=N36,16,IF(B11=N37,22,IF(B11=N38,24,IF(B11=N39,25,0)))))))))))</f>
        <v>0</v>
      </c>
      <c r="C66" s="68">
        <f>IF(B11=N29,"3",IF(B11=N30,"4",IF(B11=N31,"3",IF(B11=N32,"6",IF(B11=N33,9,IF(B11=N34,12,IF(B11=N35,16,IF(B11=N36,20,IF(B11=N37,25,IF(B11=N38,28,IF(B11=N39,29,0)))))))))))</f>
        <v>0</v>
      </c>
      <c r="D66" s="68">
        <f>IF(B11=N29,"Max de répétitions",IF(B11=N30,"Max de répétitions",IF(B11=N31,"Max de répétitions et minimum 4",IF(B11=N32,"Max de répétitions et minimum 6",IF(B11=N33,"Max de répétitions et minimum 9",IF(B11=N34,"Max de répétitions et minimum 11",IF(B11=N35,"Max de répétitions et minimum 16",IF(B11=N36,"Max de répétitions et minimum 19",IF(B11=N37,"Max de répétitions et minimum 25",IF(B11=N38,"Max de répétitions et minimum 28",IF(B11=N39,"Max de répétitions et minimum 28",0)))))))))))</f>
        <v>0</v>
      </c>
      <c r="E66" s="112"/>
      <c r="F66" s="68" t="s">
        <v>131</v>
      </c>
      <c r="G66" s="68" t="s">
        <v>131</v>
      </c>
      <c r="H66" s="68"/>
    </row>
    <row r="67" spans="1:8" x14ac:dyDescent="0.25">
      <c r="A67" s="79" t="s">
        <v>274</v>
      </c>
      <c r="B67" s="68">
        <f>IF(B12=N29,"3",IF(B12=N30,"5",IF(B12=N31,"2",IF(B12=N32,"4",IF(B12=N33,6,IF(B12=N34,9,IF(B12=N35,13,IF(B12=N36,16,IF(B12=N37,22,IF(B12=N38,24,IF(B12=N39,25,0)))))))))))</f>
        <v>0</v>
      </c>
      <c r="C67" s="68">
        <f>IF(B12=N29,"3",IF(B12=N30,"4",IF(B12=N31,"3",IF(B12=N32,"6",IF(B12=N33,9,IF(B12=N34,12,IF(B12=N35,16,IF(B12=N36,20,IF(B12=N37,25,IF(B12=N38,28,IF(B12=N39,29,0)))))))))))</f>
        <v>0</v>
      </c>
      <c r="D67" s="68">
        <f>IF(B12=N29,"Max de répétitions",IF(B12=N30,"Max de répétitions",IF(B12=N31,"Max de répétitions et minimum 4",IF(B12=N32,"Max de répétitions et minimum 6",IF(B12=N33,"Max de répétitions et minimum 9",IF(B12=N34,"Max de répétitions et minimum 11",IF(B12=N35,"Max de répétitions et minimum 16",IF(B12=N36,"Max de répétitions et minimum 19",IF(B12=N37,"Max de répétitions et minimum 25",IF(B12=N38,"Max de répétitions et minimum 28",IF(B12=N39,"Max de répétitions et minimum 28",0)))))))))))</f>
        <v>0</v>
      </c>
      <c r="E67" s="112"/>
      <c r="F67" s="68" t="s">
        <v>131</v>
      </c>
      <c r="G67" s="68" t="s">
        <v>127</v>
      </c>
      <c r="H67" s="68"/>
    </row>
    <row r="68" spans="1:8" x14ac:dyDescent="0.25">
      <c r="A68" s="79" t="s">
        <v>282</v>
      </c>
      <c r="B68" s="68">
        <f>IF(B13=N29,"3",IF(B13=N30,"5",IF(B13=N31,"2",IF(B13=N32,"4",IF(B13=N33,6,IF(B13=N34,9,IF(B13=N35,13,IF(B13=N36,16,IF(B13=N37,22,IF(B13=N38,24,IF(B13=N39,25,0)))))))))))</f>
        <v>0</v>
      </c>
      <c r="C68" s="68">
        <f>IF(B13=N29,"3",IF(B13=N30,"4",IF(B13=N31,"3",IF(B13=N32,"6",IF(B13=N33,9,IF(B13=N34,12,IF(B13=N35,16,IF(B13=N36,20,IF(B13=N37,25,IF(B13=N38,28,IF(B13=N39,29,0)))))))))))</f>
        <v>0</v>
      </c>
      <c r="D68" s="68">
        <f>IF(B13=N29,"Max de répétitions",IF(B13=N30,"Max de répétitions",IF(B13=N31,"Max de répétitions et minimum 4",IF(B13=N32,"Max de répétitions et minimum 6",IF(B13=N33,"Max de répétitions et minimum 9",IF(B13=N34,"Max de répétitions et minimum 11",IF(B13=N35,"Max de répétitions et minimum 16",IF(B13=N36,"Max de répétitions et minimum 19",IF(B13=N37,"Max de répétitions et minimum 25",IF(B13=N38,"Max de répétitions et minimum 28",IF(B13=N39,"Max de répétitions et minimum 28",0)))))))))))</f>
        <v>0</v>
      </c>
      <c r="E68" s="112"/>
      <c r="F68" s="68" t="s">
        <v>131</v>
      </c>
      <c r="G68" s="112"/>
      <c r="H68" s="68"/>
    </row>
    <row r="69" spans="1:8" ht="15.75" thickBot="1" x14ac:dyDescent="0.3">
      <c r="A69" s="214" t="s">
        <v>289</v>
      </c>
      <c r="B69" s="215"/>
      <c r="C69" s="215"/>
      <c r="D69" s="215"/>
      <c r="E69" s="215"/>
      <c r="F69" s="215"/>
      <c r="G69" s="215"/>
      <c r="H69" s="215"/>
    </row>
    <row r="70" spans="1:8" x14ac:dyDescent="0.25">
      <c r="A70" s="72" t="s">
        <v>286</v>
      </c>
      <c r="B70" s="208" t="s">
        <v>324</v>
      </c>
      <c r="C70" s="209"/>
      <c r="D70" s="209"/>
      <c r="E70" s="209"/>
      <c r="F70" s="1"/>
      <c r="G70" s="1"/>
      <c r="H70" s="147" t="s">
        <v>325</v>
      </c>
    </row>
    <row r="71" spans="1:8" x14ac:dyDescent="0.25">
      <c r="A71" s="73" t="s">
        <v>2</v>
      </c>
      <c r="B71" s="74" t="s">
        <v>3</v>
      </c>
      <c r="C71" s="74" t="s">
        <v>4</v>
      </c>
      <c r="D71" s="74" t="s">
        <v>5</v>
      </c>
      <c r="E71" s="74" t="s">
        <v>6</v>
      </c>
      <c r="F71" s="74" t="s">
        <v>124</v>
      </c>
      <c r="G71" s="74" t="s">
        <v>125</v>
      </c>
      <c r="H71" s="74" t="s">
        <v>123</v>
      </c>
    </row>
    <row r="72" spans="1:8" x14ac:dyDescent="0.25">
      <c r="A72" s="79" t="s">
        <v>328</v>
      </c>
      <c r="B72" s="68">
        <f>IF(B15=N29,"3",IF(B15=N30,"5",IF(B15=N31,"2",IF(B15=N32,"4",IF(B15=N33,6,IF(B15=N34,9,IF(B15=N35,13,IF(B15=N36,16,IF(B15=N37,22,IF(B15=N38,24,IF(B15=N39,25,0)))))))))))</f>
        <v>0</v>
      </c>
      <c r="C72" s="68">
        <f>IF(B15=N29,"3",IF(B15=N30,"4",IF(B15=N31,"3",IF(B15=N32,"6",IF(B15=N33,9,IF(B15=N34,12,IF(B15=N35,16,IF(B15=N36,20,IF(B15=N37,25,IF(B15=N38,28,IF(B15=N39,29,0)))))))))))</f>
        <v>0</v>
      </c>
      <c r="D72" s="68">
        <f>IF(B15=N29,"2",IF(B15=N30,"3",IF(B15=N31,"2",IF(B15=N32,"4",IF(B15=N33,6,IF(B15=N34,9,IF(B15=N35,12,IF(B15=N36,16,IF(B15=N37,21,IF(B15=N38,24,IF(B15=N39,25,0)))))))))))</f>
        <v>0</v>
      </c>
      <c r="E72" s="68">
        <f>IF(B15=N29,"Max de répétitions",IF(B15=N30,"Max de répétitions",IF(B15=N31,"Max de répétitions et minimum 4",IF(B15=N32,"Max de répétitions et minimum 6",IF(B15=N33,"Max de répétitions et minimum 9",IF(B15=N34,"Max de répétitions et minimum 11",IF(B15=N35,"Max de répétitions et minimum 16",IF(B15=N36,"Max de répétitions et minimum 19",IF(B15=N37,"Max de répétitions et minimum 25",IF(B15=N38,"Max de répétitions et minimum 28",IF(B15=N39,"Max de répétitions et minimum 28",0)))))))))))</f>
        <v>0</v>
      </c>
      <c r="F72" s="68" t="s">
        <v>131</v>
      </c>
      <c r="G72" s="68" t="s">
        <v>131</v>
      </c>
      <c r="H72" s="68"/>
    </row>
    <row r="73" spans="1:8" x14ac:dyDescent="0.25">
      <c r="A73" s="79" t="s">
        <v>277</v>
      </c>
      <c r="B73" s="68">
        <f>IF(B18=N29,"3",IF(B18=N30,"5",IF(B18=N31,"2",IF(B18=N32,"4",IF(B18=N33,6,IF(B18=N34,9,IF(B18=N35,13,IF(B18=N36,16,IF(B18=N37,22,IF(B18=N38,24,IF(B18=N39,25,0)))))))))))</f>
        <v>0</v>
      </c>
      <c r="C73" s="68">
        <f>IF(B18=N29,"3",IF(B18=N30,"4",IF(B18=N31,"3",IF(B18=N32,"6",IF(B18=N33,9,IF(B18=N34,12,IF(B18=N35,16,IF(B18=N36,20,IF(B18=N37,25,IF(B18=N38,28,IF(B18=N39,29,0)))))))))))</f>
        <v>0</v>
      </c>
      <c r="D73" s="68">
        <f>IF(B18=N29,"2",IF(B18=N30,"3",IF(B18=N31,"2",IF(B18=N32,"4",IF(B18=N33,6,IF(B18=N34,9,IF(B18=N35,12,IF(B18=N36,16,IF(B18=N37,21,IF(B18=N38,24,IF(B18=N39,25,0)))))))))))</f>
        <v>0</v>
      </c>
      <c r="E73" s="68">
        <f>IF(B18=N29,"Max de répétitions",IF(B18=N30,"Max de répétitions",IF(B18=N31,"Max de répétitions et minimum 4",IF(B18=N32,"Max de répétitions et minimum 6",IF(B18=N33,"Max de répétitions et minimum 9",IF(B18=N34,"Max de répétitions et minimum 11",IF(B18=N35,"Max de répétitions et minimum 16",IF(B18=N36,"Max de répétitions et minimum 19",IF(B18=N37,"Max de répétitions et minimum 25",IF(B18=N38,"Max de répétitions et minimum 28",IF(B18=N39,"Max de répétitions et minimum 28",0)))))))))))</f>
        <v>0</v>
      </c>
      <c r="F73" s="68" t="s">
        <v>131</v>
      </c>
      <c r="G73" s="68" t="s">
        <v>128</v>
      </c>
      <c r="H73" s="68"/>
    </row>
    <row r="74" spans="1:8" x14ac:dyDescent="0.25">
      <c r="A74" s="79" t="s">
        <v>155</v>
      </c>
      <c r="B74" s="68">
        <f>IF(B16=N29,"3",IF(B16=N30,"5",IF(B16=N31,"2",IF(B16=N32,"4",IF(B16=N33,6,IF(B16=N34,9,IF(B16=N35,13,IF(B16=N36,16,IF(B16=N37,22,IF(B16=N38,24,IF(B16=N39,25,0)))))))))))</f>
        <v>0</v>
      </c>
      <c r="C74" s="68">
        <f>IF(B16=N29,"8",IF(B16=N30,"9",IF(B16=N31,"3",IF(B16=N32,"6",IF(B16=N33,9,IF(B16=N34,12,IF(B16=N35,16,IF(B16=N36,20,IF(B16=N37,25,IF(B16=N38,28,IF(B16=N39,29,0)))))))))))</f>
        <v>0</v>
      </c>
      <c r="D74" s="68">
        <f>IF(B16=N29,"6",IF(B16=N30,"7",IF(B16=N31,"Max de répétitions et minimum 4",IF(B16=N32,"Max de répétitions et minimum 6",IF(B16=N33,"Max de répétitions et minimum 9",IF(B16=N34,"Max de répétitions et minimum 11",IF(B16=N35,"Max de répétitions et minimum 16",IF(B16=N36,"Max de répétitions et minimum 19",IF(B16=N37,"Max de répétitions et minimum 25",IF(B16=N38,"Max de répétitions et minimum 28",IF(B16=N39,"Max de répétitions et minimum 28",0)))))))))))</f>
        <v>0</v>
      </c>
      <c r="E74" s="112"/>
      <c r="F74" s="68" t="s">
        <v>128</v>
      </c>
      <c r="G74" s="68" t="s">
        <v>127</v>
      </c>
      <c r="H74" s="76" t="str">
        <f>IF(OR(B16=N29,B16=N30),"Toutes les répétitions en excentrique","")</f>
        <v/>
      </c>
    </row>
    <row r="75" spans="1:8" x14ac:dyDescent="0.25">
      <c r="A75" s="79" t="s">
        <v>157</v>
      </c>
      <c r="B75" s="68">
        <f>IF(B17=N29,"3",IF(B17=N30,"5",IF(B17=N31,"2",IF(B17=N32,"4",IF(B17=N33,6,IF(B17=N34,9,IF(B17=N35,13,IF(B17=N36,16,IF(B17=N37,22,IF(B17=N38,24,IF(B17=N39,25,0)))))))))))</f>
        <v>0</v>
      </c>
      <c r="C75" s="68">
        <f>IF(B17=N29,"3",IF(B17=N30,"4",IF(B17=N31,"3",IF(B17=N32,"6",IF(B17=N33,9,IF(B17=N34,12,IF(B17=N35,16,IF(B17=N36,20,IF(B17=N37,25,IF(B17=N38,28,IF(B17=N39,29,0)))))))))))</f>
        <v>0</v>
      </c>
      <c r="D75" s="68">
        <f>IF(B17=N29,"Max de répétitions",IF(B17=N30,"Max de répétitions",IF(B17=N31,"Max de répétitions et minimum 4",IF(B17=N32,"Max de répétitions et minimum 6",IF(B17=N33,"Max de répétitions et minimum 9",IF(B17=N34,"Max de répétitions et minimum 11",IF(B17=N35,"Max de répétitions et minimum 16",IF(B17=N36,"Max de répétitions et minimum 19",IF(B17=N37,"Max de répétitions et minimum 25",IF(B17=N38,"Max de répétitions et minimum 28",IF(B17=N39,"Max de répétitions et minimum 28",0)))))))))))</f>
        <v>0</v>
      </c>
      <c r="E75" s="112"/>
      <c r="F75" s="68" t="s">
        <v>131</v>
      </c>
      <c r="G75" s="68" t="s">
        <v>131</v>
      </c>
      <c r="H75" s="68"/>
    </row>
    <row r="76" spans="1:8" x14ac:dyDescent="0.25">
      <c r="A76" s="79" t="s">
        <v>327</v>
      </c>
      <c r="B76" s="68">
        <f>IF(B19=N29,"3",IF(B19=N30,"5",IF(B19=N31,"2",IF(B19=N32,"4",IF(B19=N33,6,IF(B19=N34,9,IF(B19=N35,13,IF(B19=N36,16,IF(B19=N37,22,IF(B19=N38,24,IF(B19=N39,25,0)))))))))))</f>
        <v>0</v>
      </c>
      <c r="C76" s="68">
        <f>IF(B19=N29,"3",IF(B19=N30,"4",IF(B19=N31,"3",IF(B19=N32,"6",IF(B19=N33,9,IF(B19=N34,12,IF(B19=N35,16,IF(B19=N36,20,IF(B19=N37,25,IF(B19=N38,28,IF(B19=N39,29,0)))))))))))</f>
        <v>0</v>
      </c>
      <c r="D76" s="68">
        <f>IF(B19=N29,"Max de répétitions",IF(B19=N30,"Max de répétitions",IF(B19=N31,"Max de répétitions et minimum 4",IF(B19=N32,"Max de répétitions et minimum 6",IF(B19=N33,"Max de répétitions et minimum 9",IF(B19=N34,"Max de répétitions et minimum 11",IF(B19=N35,"Max de répétitions et minimum 16",IF(B19=N36,"Max de répétitions et minimum 19",IF(B19=N37,"Max de répétitions et minimum 25",IF(B19=N38,"Max de répétitions et minimum 28",IF(B19=N39,"Max de répétitions et minimum 28",0)))))))))))</f>
        <v>0</v>
      </c>
      <c r="E76" s="112"/>
      <c r="F76" s="68" t="s">
        <v>131</v>
      </c>
      <c r="G76" s="112"/>
      <c r="H76" s="68"/>
    </row>
    <row r="77" spans="1:8" ht="15.75" thickBot="1" x14ac:dyDescent="0.3">
      <c r="A77" s="214" t="s">
        <v>290</v>
      </c>
      <c r="B77" s="215"/>
      <c r="C77" s="215"/>
      <c r="D77" s="215"/>
      <c r="E77" s="215"/>
      <c r="F77" s="215"/>
      <c r="G77" s="215"/>
      <c r="H77" s="215"/>
    </row>
    <row r="78" spans="1:8" x14ac:dyDescent="0.25">
      <c r="A78" s="72" t="s">
        <v>291</v>
      </c>
      <c r="B78" s="208" t="s">
        <v>324</v>
      </c>
      <c r="C78" s="209"/>
      <c r="D78" s="209"/>
      <c r="E78" s="209"/>
      <c r="F78" s="1"/>
      <c r="G78" s="1"/>
      <c r="H78" s="147" t="s">
        <v>325</v>
      </c>
    </row>
    <row r="79" spans="1:8" ht="15.75" thickBot="1" x14ac:dyDescent="0.3">
      <c r="A79" s="73" t="s">
        <v>2</v>
      </c>
      <c r="B79" s="74" t="s">
        <v>3</v>
      </c>
      <c r="C79" s="74" t="s">
        <v>4</v>
      </c>
      <c r="D79" s="74" t="s">
        <v>5</v>
      </c>
      <c r="E79" s="74" t="s">
        <v>6</v>
      </c>
      <c r="F79" s="74" t="s">
        <v>124</v>
      </c>
      <c r="G79" s="74" t="s">
        <v>125</v>
      </c>
      <c r="H79" s="74" t="s">
        <v>123</v>
      </c>
    </row>
    <row r="80" spans="1:8" ht="15.75" thickBot="1" x14ac:dyDescent="0.3">
      <c r="A80" s="104" t="s">
        <v>166</v>
      </c>
      <c r="B80" s="68">
        <f>IF(B22=N29,"3",IF(B22=N30,"5",IF(B22=N31,"2",IF(B22=N32,"4",IF(B22=N33,6,IF(B22=N34,9,IF(B22=N35,13,IF(B22=N36,16,IF(B22=N37,22,IF(B22=N38,24,IF(B22=N39,25,0)))))))))))</f>
        <v>0</v>
      </c>
      <c r="C80" s="68">
        <f>IF(B22=N29,"3",IF(B22=N30,"4",IF(B22=N31,"3",IF(B22=N32,"6",IF(B22=N33,9,IF(B22=N34,12,IF(B22=N35,16,IF(B22=N36,20,IF(B22=N37,25,IF(B22=N38,28,IF(B22=N39,29,0)))))))))))</f>
        <v>0</v>
      </c>
      <c r="D80" s="68">
        <f>IF(B22=N29,"2",IF(B22=N30,"3",IF(B22=N31,"2",IF(B22=N32,"4",IF(B22=N33,6,IF(B22=N34,9,IF(B22=N35,12,IF(B22=N36,16,IF(B22=N37,21,IF(B22=N38,24,IF(B22=N39,25,0)))))))))))</f>
        <v>0</v>
      </c>
      <c r="E80" s="68">
        <f>IF(B22=N29,"Max de répétitions",IF(B22=N30,"Max de répétitions",IF(B22=N31,"Max de répétitions et minimum 4",IF(B22=N32,"Max de répétitions et minimum 6",IF(B22=N33,"Max de répétitions et minimum 9",IF(B22=N34,"Max de répétitions et minimum 11",IF(B22=N35,"Max de répétitions et minimum 16",IF(B22=N36,"Max de répétitions et minimum 19",IF(B22=N37,"Max de répétitions et minimum 25",IF(B22=N38,"Max de répétitions et minimum 28",IF(B22=N39,"Max de répétitions et minimum 28",0)))))))))))</f>
        <v>0</v>
      </c>
      <c r="F80" s="68" t="s">
        <v>130</v>
      </c>
      <c r="G80" s="68" t="s">
        <v>128</v>
      </c>
      <c r="H80" s="68"/>
    </row>
    <row r="81" spans="1:8" x14ac:dyDescent="0.25">
      <c r="A81" s="105" t="s">
        <v>174</v>
      </c>
      <c r="B81" s="68">
        <f>IF(B23=N29,"3",IF(B23=N30,"5",IF(B23=N31,"2",IF(B23=N32,"4",IF(B23=N33,6,IF(B23=N34,9,IF(B23=N35,13,IF(B23=N36,16,IF(B23=N37,22,IF(B23=N38,24,IF(B23=N39,25,0)))))))))))</f>
        <v>0</v>
      </c>
      <c r="C81" s="68">
        <f>IF(B23=N29,"3",IF(B23=N30,"4",IF(B23=N31,"3",IF(B23=N32,"6",IF(B23=N33,9,IF(B23=N34,12,IF(B23=N35,16,IF(B23=N36,20,IF(B23=N37,25,IF(B23=N38,28,IF(B23=N39,29,0)))))))))))</f>
        <v>0</v>
      </c>
      <c r="D81" s="68">
        <f>IF(B23=N29,"2",IF(B23=N30,"3",IF(B23=N31,"2",IF(B23=N32,"4",IF(B23=N33,6,IF(B23=N34,9,IF(B23=N35,12,IF(B23=N36,16,IF(B23=N37,21,IF(B23=N38,24,IF(B23=N39,25,0)))))))))))</f>
        <v>0</v>
      </c>
      <c r="E81" s="68">
        <f>IF(B23=N29,"Max de répétitions",IF(B23=N30,"Max de répétitions",IF(B23=N31,"Max de répétitions et minimum 4",IF(B23=N32,"Max de répétitions et minimum 6",IF(B23=N33,"Max de répétitions et minimum 9",IF(B23=N34,"Max de répétitions et minimum 11",IF(B23=N35,"Max de répétitions et minimum 16",IF(B23=N36,"Max de répétitions et minimum 19",IF(B23=N37,"Max de répétitions et minimum 25",IF(B23=N38,"Max de répétitions et minimum 28",IF(B23=N39,"Max de répétitions et minimum 28",0)))))))))))</f>
        <v>0</v>
      </c>
      <c r="F81" s="68" t="s">
        <v>130</v>
      </c>
      <c r="G81" s="68" t="s">
        <v>128</v>
      </c>
      <c r="H81" s="76" t="s">
        <v>137</v>
      </c>
    </row>
    <row r="82" spans="1:8" x14ac:dyDescent="0.25">
      <c r="A82" s="105" t="s">
        <v>270</v>
      </c>
      <c r="B82" s="68">
        <f>IF(B21=N29,"3",IF(B21=N30,"5",IF(B21=N31,"2",IF(B21=N32,"4",IF(B21=N33,6,IF(B21=N34,9,IF(B21=N35,13,IF(B21=N36,16,IF(B21=N37,22,IF(B21=N38,24,IF(B21=N39,25,0)))))))))))</f>
        <v>0</v>
      </c>
      <c r="C82" s="68">
        <f>IF(B21=N29,"3",IF(B21=N30,"4",IF(B21=N31,"3",IF(B21=N32,"6",IF(B21=N33,9,IF(B21=N34,12,IF(B21=N35,16,IF(B21=N36,20,IF(B21=N37,25,IF(B21=N38,28,IF(B21=N39,29,0)))))))))))</f>
        <v>0</v>
      </c>
      <c r="D82" s="68">
        <f>IF(B21=N29,"Max de répétitions",IF(B21=N30,"Max de répétitions",IF(B21=N31,"Max de répétitions et minimum 4",IF(B21=N32,"Max de répétitions et minimum 6",IF(B21=N33,"Max de répétitions et minimum 9",IF(B21=N34,"Max de répétitions et minimum 11",IF(B21=N35,"Max de répétitions et minimum 16",IF(B21=N36,"Max de répétitions et minimum 19",IF(B21=N37,"Max de répétitions et minimum 25",IF(B21=N38,"Max de répétitions et minimum 28",IF(B21=N39,"Max de répétitions et minimum 28",0)))))))))))</f>
        <v>0</v>
      </c>
      <c r="E82" s="112"/>
      <c r="F82" s="68" t="s">
        <v>130</v>
      </c>
      <c r="G82" s="68" t="s">
        <v>127</v>
      </c>
      <c r="H82" s="68"/>
    </row>
    <row r="83" spans="1:8" x14ac:dyDescent="0.25">
      <c r="A83" s="105" t="s">
        <v>271</v>
      </c>
      <c r="B83" s="68">
        <f>IF(B24=N29,"3",IF(B24=N30,"5",IF(B24=N31,"2",IF(B24=N32,"4",IF(B24=N33,6,IF(B24=N34,9,IF(B24=N35,13,IF(B24=N36,16,IF(B24=N37,22,IF(B24=N38,24,IF(B24=N39,25,0)))))))))))</f>
        <v>0</v>
      </c>
      <c r="C83" s="68">
        <f>IF(B24=N29,"3",IF(B24=N30,"4",IF(B24=N31,"3",IF(B24=N32,"6",IF(B24=N33,9,IF(B24=N34,12,IF(B24=N35,16,IF(B24=N36,20,IF(B24=N37,25,IF(B24=N38,28,IF(B24=N39,29,0)))))))))))</f>
        <v>0</v>
      </c>
      <c r="D83" s="68">
        <f>IF(B24=N29,"Max de répétitions",IF(B24=N30,"Max de répétitions",IF(B24=N31,"Max de répétitions et minimum 4",IF(B24=N32,"Max de répétitions et minimum 6",IF(B24=N33,"Max de répétitions et minimum 9",IF(B24=N34,"Max de répétitions et minimum 11",IF(B24=N35,"Max de répétitions et minimum 16",IF(B24=N36,"Max de répétitions et minimum 19",IF(B24=N37,"Max de répétitions et minimum 25",IF(B24=N38,"Max de répétitions et minimum 28",IF(B24=N39,"Max de répétitions et minimum 28",0)))))))))))</f>
        <v>0</v>
      </c>
      <c r="E83" s="112"/>
      <c r="F83" s="68" t="s">
        <v>292</v>
      </c>
      <c r="G83" s="68" t="s">
        <v>292</v>
      </c>
      <c r="H83" s="68"/>
    </row>
    <row r="84" spans="1:8" x14ac:dyDescent="0.25">
      <c r="A84" s="105" t="s">
        <v>171</v>
      </c>
      <c r="B84" s="68">
        <f>IF(B25=M29,"3",IF(B25=M30,"6",IF(B25=M31,"9",IF(B25=M32,"14",IF(B25=M33,20,IF(B25=M34,10,IF(B25=M35,10,IF(B25=M36,19,IF(B25=M37,19,IF(B25=M38,20,IF(B25=M39,22,IF(B25=M40,22,0))))))))))))</f>
        <v>0</v>
      </c>
      <c r="C84" s="68">
        <f>IF(B25=M29,"4",IF(B25=M30,"7",IF(B25=M31,"10",IF(B25=M32,"19",IF(B25=M33,25,IF(B25=M34,13,IF(B25=M35,15,IF(B25=M36,22,IF(B25=M37,23,IF(B25=M38,23,IF(B25=M39,27,IF(B25=M40,30,0))))))))))))</f>
        <v>0</v>
      </c>
      <c r="D84" s="68">
        <f>IF(B25=M29,"Max de répétitions et minimum 4",IF(B25=M30,"Max de répétitions et minimum 7",IF(B25=M31,"Max de répétitions et minimum 10",IF(B25=M32,"Max de répétitions et minimum 19",IF(B25=M33,"Max de répétitions et minimum 23",IF(B25=M34,"Max de répétitions et minimum 25",IF(B25=M35,"Max de répétitions et minimum 30",IF(B25=M36,"Max de répétitions et minimum 35",IF(B25=M37,"Max de répétitions et minimum 37",IF(B25=M38,"Max de répétitions et minimum 53",IF(B25=M39,"Max de répétitions et minimum 58",IF(B25=M40,"Max de répétitions et minimum 59",0))))))))))))</f>
        <v>0</v>
      </c>
      <c r="E84" s="112"/>
      <c r="F84" s="68" t="s">
        <v>130</v>
      </c>
      <c r="G84" s="68" t="s">
        <v>293</v>
      </c>
      <c r="H84" s="68"/>
    </row>
    <row r="85" spans="1:8" x14ac:dyDescent="0.25">
      <c r="A85" s="105" t="s">
        <v>161</v>
      </c>
      <c r="B85" s="68">
        <f>IF(B26=N29,"3",IF(B26=N30,"5",IF(B26=N31,"2",IF(B26=N32,"4",IF(B26=N33,6,IF(B26=N34,9,IF(B26=N35,13,IF(B26=N36,16,IF(B26=N37,22,IF(B26=N38,24,IF(B26=N39,25,0)))))))))))</f>
        <v>0</v>
      </c>
      <c r="C85" s="68">
        <f>IF(B26=N29,"3",IF(B26=N30,"4",IF(B26=N31,"3",IF(B26=N32,"6",IF(B26=N33,9,IF(B26=N34,12,IF(B26=N35,16,IF(B26=N36,20,IF(B26=N37,25,IF(B26=N38,28,IF(B26=N39,29,0)))))))))))</f>
        <v>0</v>
      </c>
      <c r="D85" s="68">
        <f>IF(B26=N29,"Max de répétitions",IF(B26=N30,"Max de répétitions",IF(B26=N31,"Max de répétitions et minimum 4",IF(B26=N32,"Max de répétitions et minimum 6",IF(B26=N33,"Max de répétitions et minimum 9",IF(B26=N34,"Max de répétitions et minimum 11",IF(B26=N35,"Max de répétitions et minimum 16",IF(B26=N36,"Max de répétitions et minimum 19",IF(B26=N37,"Max de répétitions et minimum 25",IF(B26=N38,"Max de répétitions et minimum 28",IF(B26=N39,"Max de répétitions et minimum 28",0)))))))))))</f>
        <v>0</v>
      </c>
      <c r="E85" s="112"/>
      <c r="F85" s="68" t="s">
        <v>131</v>
      </c>
      <c r="G85" s="112"/>
      <c r="H85" s="68"/>
    </row>
    <row r="86" spans="1:8" x14ac:dyDescent="0.25">
      <c r="A86" s="214" t="s">
        <v>139</v>
      </c>
      <c r="B86" s="215"/>
      <c r="C86" s="215"/>
      <c r="D86" s="215"/>
      <c r="E86" s="215"/>
      <c r="F86" s="215"/>
      <c r="G86" s="215"/>
      <c r="H86" s="215"/>
    </row>
    <row r="87" spans="1:8" x14ac:dyDescent="0.25">
      <c r="A87" s="214" t="s">
        <v>140</v>
      </c>
      <c r="B87" s="215"/>
      <c r="C87" s="215"/>
      <c r="D87" s="215"/>
      <c r="E87" s="215"/>
      <c r="F87" s="215"/>
      <c r="G87" s="215"/>
      <c r="H87" s="215"/>
    </row>
    <row r="88" spans="1:8" x14ac:dyDescent="0.25">
      <c r="A88" s="77"/>
      <c r="B88" s="77"/>
      <c r="C88" s="77"/>
      <c r="D88" s="77"/>
      <c r="E88" s="77"/>
      <c r="F88" s="77"/>
      <c r="G88" s="77"/>
      <c r="H88" s="77"/>
    </row>
    <row r="89" spans="1:8" ht="15.75" thickBot="1" x14ac:dyDescent="0.3">
      <c r="A89" s="213" t="s">
        <v>167</v>
      </c>
      <c r="B89" s="213"/>
      <c r="C89" s="213"/>
      <c r="D89" s="213"/>
      <c r="E89" s="213"/>
      <c r="F89" s="213"/>
      <c r="G89" s="213"/>
      <c r="H89" s="213"/>
    </row>
    <row r="90" spans="1:8" x14ac:dyDescent="0.25">
      <c r="A90" s="72" t="s">
        <v>272</v>
      </c>
      <c r="B90" s="208" t="s">
        <v>324</v>
      </c>
      <c r="C90" s="209"/>
      <c r="D90" s="209"/>
      <c r="E90" s="209"/>
      <c r="F90" s="1"/>
      <c r="G90" s="1"/>
      <c r="H90" s="147" t="s">
        <v>325</v>
      </c>
    </row>
    <row r="91" spans="1:8" x14ac:dyDescent="0.25">
      <c r="A91" s="73" t="s">
        <v>2</v>
      </c>
      <c r="B91" s="74" t="s">
        <v>3</v>
      </c>
      <c r="C91" s="74" t="s">
        <v>4</v>
      </c>
      <c r="D91" s="74" t="s">
        <v>5</v>
      </c>
      <c r="E91" s="74" t="s">
        <v>6</v>
      </c>
      <c r="F91" s="74" t="s">
        <v>124</v>
      </c>
      <c r="G91" s="74" t="s">
        <v>125</v>
      </c>
      <c r="H91" s="74" t="s">
        <v>123</v>
      </c>
    </row>
    <row r="92" spans="1:8" x14ac:dyDescent="0.25">
      <c r="A92" s="86" t="s">
        <v>252</v>
      </c>
      <c r="B92" s="68">
        <f>IF(B10=M29,"4",IF(B10=M30,"8",IF(B10=M31,"11",IF(B10=M32,"16",IF(B10=M33,20,IF(B10=M34,13,IF(B10=M35,18,IF(B10=M36,20,IF(B10=M37,20,IF(B10=M38,22,IF(B10=M39,26,IF(B10=M40,28,0))))))))))))</f>
        <v>0</v>
      </c>
      <c r="C92" s="68">
        <f>IF(B10=M29,"5",IF(B10=M30,"10",IF(B10=M31,"13",IF(B10=M32,"21",IF(B10=M33,27,IF(B10=M34,13,IF(B10=M35,20,IF(B10=M36,24,IF(B10=M37,27,IF(B10=M38,30,IF(B10=M39,33,IF(B10=M40,35,0))))))))))))</f>
        <v>0</v>
      </c>
      <c r="D92" s="68">
        <f>IF(B10=M29,"4",IF(B10=M30,"7",IF(B10=M31,"9",IF(B10=M32,"15",IF(B10=M33,18,IF(B10=M34,15,IF(B10=M35,17,IF(B10=M36,20,IF(B10=M37,21,IF(B10=M38,22,IF(B10=M39,23,IF(B10=M40,25,0))))))))))))</f>
        <v>0</v>
      </c>
      <c r="E92" s="68">
        <f>IF(B10=M29,"Max de répétitions et minimum 5",IF(B10=M30,"Max de répétitions et minimum 10",IF(B10=M31,"Max de répétitions et minimum 13",IF(B10=M32,"Max de répétitions et minimum 21",IF(B10=M33,"Max de répétitions et minimum 25",IF(B10=M34,"Max de répétitions et minimum 30",IF(B10=M35,"Max de répétitions et minimum 35",IF(B10=M36,"Max de répétitions et minimum 40",IF(B10=M37,"Max de répétitions et minimum 44",IF(B10=M38,"Max de répétitions et minimum 55",IF(B10=M39,"Max de répétitions et minimum 60",IF(B10=M40,"Max de répétitions et minimum 60",0))))))))))))</f>
        <v>0</v>
      </c>
      <c r="F92" s="68" t="s">
        <v>131</v>
      </c>
      <c r="G92" s="68" t="s">
        <v>127</v>
      </c>
      <c r="H92" s="76"/>
    </row>
    <row r="93" spans="1:8" x14ac:dyDescent="0.25">
      <c r="A93" s="79" t="s">
        <v>148</v>
      </c>
      <c r="B93" s="68">
        <f>IF(B9=N29,"4",IF(B9=N30,"6",IF(B9=N31,"3",IF(B9=N32,"5",IF(B9=N33,7,IF(B9=N34,9,IF(B9=N35,13,IF(B9=N36,17,IF(B9=N37,23,IF(B9=N38,25,IF(B9=N39,25,0)))))))))))</f>
        <v>0</v>
      </c>
      <c r="C93" s="68">
        <f>IF(B9=N29,"9",IF(B9=N30,"10",IF(B9=N31,"4",IF(B9=N32,"7",IF(B9=N33,10,IF(B9=N34,13,IF(B9=N35,16,IF(B9=N36,21,IF(B9=N37,26,IF(B9=N38,29,IF(B9=N39,30,0)))))))))))</f>
        <v>0</v>
      </c>
      <c r="D93" s="68">
        <f>IF(B9=N29,"6",IF(B9=N30,"8",IF(B9=N31,"2",IF(B9=N32,"5",IF(B9=N33,6,IF(B9=N34,9,IF(B9=N35,12,IF(B9=N36,16,IF(B9=N37,23,IF(B9=N38,24,IF(B9=N39,25,0)))))))))))</f>
        <v>0</v>
      </c>
      <c r="E93" s="68">
        <f>IF(B9=N29,"6",IF(B9=N30,"8",IF(B9=N31,"2",IF(B9=N32,"5",IF(B9=N33,6,IF(B9=N34,9,IF(B9=N35,12,IF(B9=N36,16,IF(B9=N37,23,IF(B9=N38,24,IF(B9=N39,25,0)))))))))))</f>
        <v>0</v>
      </c>
      <c r="F93" s="68" t="s">
        <v>127</v>
      </c>
      <c r="G93" s="68" t="s">
        <v>128</v>
      </c>
      <c r="H93" s="114" t="str">
        <f>IF(OR(B9=N29,B9=N30),"Toutes les répétitions en excentrique : voir vidéo","")</f>
        <v/>
      </c>
    </row>
    <row r="94" spans="1:8" x14ac:dyDescent="0.25">
      <c r="A94" s="86" t="s">
        <v>147</v>
      </c>
      <c r="B94" s="68">
        <f>IF(B8=M29,"4",IF(B8=M30,"8",IF(B8=M31,"11",IF(B8=M32,"16",IF(B8=M33,20,IF(B8=M34,13,IF(B8=M35,18,IF(B8=M36,20,IF(B8=M37,20,IF(B8=M38,22,IF(B8=M39,26,IF(B8=M40,28,0))))))))))))</f>
        <v>0</v>
      </c>
      <c r="C94" s="68">
        <f>IF(B8=M29,"5",IF(B8=M30,"10",IF(B8=M31,"13",IF(B8=M32,"21",IF(B8=M33,27,IF(B8=M34,13,IF(B8=M35,20,IF(B8=M36,24,IF(B8=M37,27,IF(B8=M38,30,IF(B8=M39,33,IF(B8=M40,35,0))))))))))))</f>
        <v>0</v>
      </c>
      <c r="D94" s="68">
        <f>IF(B8=M29,"Max de répétitions et minimum 5",IF(B8=M30,"Max de répétitions et minimum 10",IF(B8=M31,"Max de répétitions et minimum 13",IF(B8=M32,"Max de répétitions et minimum 21",IF(B8=M33,"Max de répétitions et minimum 25",IF(B8=M34,"Max de répétitions et minimum 30",IF(B8=M35,"Max de répétitions et minimum 35",IF(B8=M36,"Max de répétitions et minimum 40",IF(B8=M37,"Max de répétitions et minimum 44",IF(B8=M38,"Max de répétitions et minimum 55",IF(B8=M39,"Max de répétitions et minimum 60",IF(B8=M40,"Max de répétitions et minimum 60",0))))))))))))</f>
        <v>0</v>
      </c>
      <c r="E94" s="115"/>
      <c r="F94" s="68" t="s">
        <v>127</v>
      </c>
      <c r="G94" s="68" t="s">
        <v>128</v>
      </c>
      <c r="H94" s="113"/>
    </row>
    <row r="95" spans="1:8" x14ac:dyDescent="0.25">
      <c r="A95" s="86" t="s">
        <v>273</v>
      </c>
      <c r="B95" s="68">
        <f>IF(B11=N29,"4",IF(B11=N30,"6",IF(B11=N31,"3",IF(B11=N32,"5",IF(B11=N33,7,IF(B11=N34,9,IF(B11=N35,13,IF(B11=N36,17,IF(B11=N37,23,IF(B11=N38,25,IF(B11=N39,25,0)))))))))))</f>
        <v>0</v>
      </c>
      <c r="C95" s="68">
        <f>IF(B11=N29,"4",IF(B11=N30,"5",IF(B11=N31,"4",IF(B11=N32,"7",IF(B11=N33,10,IF(B11=N34,13,IF(B11=N35,16,IF(B11=N36,21,IF(B11=N37,26,IF(B11=N38,29,IF(B11=N39,30,0)))))))))))</f>
        <v>0</v>
      </c>
      <c r="D95" s="68">
        <f>IF(B11=N29,"Max de répétitions",IF(B11=N30,"Max de répétitions",IF(B11=N31,"Max de répétitions et minimum 4",IF(B11=N32,"Max de répétitions et minimum 6",IF(B11=N33,"Max de répétitions et minimum 9",IF(B11=N34,"Max de répétitions et minimum 12",IF(B11=N35,"Max de répétitions et minimum 16",IF(B11=N36,"Max de répétitions et minimum 20",IF(B11=N37,"Max de répétitions et minimum 25",IF(B11=N38,"Max de répétitions et minimum 29",IF(B11=N39,"Max de répétitions et minimum 29",0)))))))))))</f>
        <v>0</v>
      </c>
      <c r="E95" s="115"/>
      <c r="F95" s="68" t="s">
        <v>131</v>
      </c>
      <c r="G95" s="68" t="s">
        <v>127</v>
      </c>
      <c r="H95" s="113"/>
    </row>
    <row r="96" spans="1:8" x14ac:dyDescent="0.25">
      <c r="A96" s="79" t="s">
        <v>274</v>
      </c>
      <c r="B96" s="68">
        <f>IF(B12=N29,"4",IF(B12=N30,"6",IF(B12=N31,"3",IF(B12=N32,"5",IF(B12=N33,7,IF(B12=N34,9,IF(B12=N35,13,IF(B12=N36,17,IF(B12=N37,23,IF(B12=N38,25,IF(B12=N39,25,0)))))))))))</f>
        <v>0</v>
      </c>
      <c r="C96" s="68">
        <f>IF(B12=N29,"4",IF(B12=N30,"5",IF(B12=N31,"4",IF(B12=N32,"7",IF(B12=N33,10,IF(B12=N34,13,IF(B12=N35,16,IF(B12=N36,21,IF(B12=N37,26,IF(B12=N38,29,IF(B12=N39,30,0)))))))))))</f>
        <v>0</v>
      </c>
      <c r="D96" s="68">
        <f>IF(B12=N29,"Max de répétitions",IF(B12=N30,"Max de répétitions",IF(B12=N31,"Max de répétitions et minimum 4",IF(B12=N32,"Max de répétitions et minimum 6",IF(B12=N33,"Max de répétitions et minimum 9",IF(B12=N34,"Max de répétitions et minimum 12",IF(B12=N35,"Max de répétitions et minimum 16",IF(B12=N36,"Max de répétitions et minimum 20",IF(B12=N37,"Max de répétitions et minimum 25",IF(B12=N38,"Max de répétitions et minimum 29",IF(B12=N39,"Max de répétitions et minimum 29",0)))))))))))</f>
        <v>0</v>
      </c>
      <c r="E96" s="115"/>
      <c r="F96" s="68" t="s">
        <v>131</v>
      </c>
      <c r="G96" s="68" t="s">
        <v>127</v>
      </c>
      <c r="H96" s="113"/>
    </row>
    <row r="97" spans="1:8" x14ac:dyDescent="0.25">
      <c r="A97" s="79" t="s">
        <v>282</v>
      </c>
      <c r="B97" s="68">
        <f>IF(B13=N29,"4",IF(B13=N30,"6",IF(B13=N31,"3",IF(B13=N32,"5",IF(B13=N33,7,IF(B13=N34,9,IF(B13=N35,13,IF(B13=N36,17,IF(B13=N37,23,IF(B13=N38,25,IF(B13=N39,25,0)))))))))))</f>
        <v>0</v>
      </c>
      <c r="C97" s="68">
        <f>IF(B13=N29,"4",IF(B13=N30,"5",IF(B13=N31,"4",IF(B13=N32,"7",IF(B13=N33,10,IF(B13=N34,13,IF(B13=N35,16,IF(B13=N36,21,IF(B13=N37,26,IF(B13=N38,29,IF(B13=N39,30,0)))))))))))</f>
        <v>0</v>
      </c>
      <c r="D97" s="68">
        <f>IF(B13=N29,"Max de répétitions",IF(B13=N30,"Max de répétitions",IF(B13=N31,"Max de répétitions et minimum 4",IF(B13=N32,"Max de répétitions et minimum 6",IF(B13=N33,"Max de répétitions et minimum 9",IF(B13=N34,"Max de répétitions et minimum 12",IF(B13=N35,"Max de répétitions et minimum 16",IF(B13=N36,"Max de répétitions et minimum 20",IF(B13=N37,"Max de répétitions et minimum 25",IF(B13=N38,"Max de répétitions et minimum 29",IF(B13=N39,"Max de répétitions et minimum 29",0)))))))))))</f>
        <v>0</v>
      </c>
      <c r="E97" s="115"/>
      <c r="F97" s="68" t="s">
        <v>131</v>
      </c>
      <c r="G97" s="115"/>
      <c r="H97" s="113"/>
    </row>
    <row r="98" spans="1:8" ht="15.75" thickBot="1" x14ac:dyDescent="0.3">
      <c r="A98" s="214" t="s">
        <v>289</v>
      </c>
      <c r="B98" s="215"/>
      <c r="C98" s="215"/>
      <c r="D98" s="215"/>
      <c r="E98" s="215"/>
      <c r="F98" s="215"/>
      <c r="G98" s="215"/>
      <c r="H98" s="215"/>
    </row>
    <row r="99" spans="1:8" x14ac:dyDescent="0.25">
      <c r="A99" s="72" t="s">
        <v>286</v>
      </c>
      <c r="B99" s="208" t="s">
        <v>324</v>
      </c>
      <c r="C99" s="209"/>
      <c r="D99" s="209"/>
      <c r="E99" s="209"/>
      <c r="F99" s="1"/>
      <c r="G99" s="1"/>
      <c r="H99" s="147" t="s">
        <v>325</v>
      </c>
    </row>
    <row r="100" spans="1:8" x14ac:dyDescent="0.25">
      <c r="A100" s="73" t="s">
        <v>2</v>
      </c>
      <c r="B100" s="74" t="s">
        <v>3</v>
      </c>
      <c r="C100" s="74" t="s">
        <v>4</v>
      </c>
      <c r="D100" s="74" t="s">
        <v>5</v>
      </c>
      <c r="E100" s="74" t="s">
        <v>6</v>
      </c>
      <c r="F100" s="74" t="s">
        <v>124</v>
      </c>
      <c r="G100" s="74" t="s">
        <v>125</v>
      </c>
      <c r="H100" s="74" t="s">
        <v>123</v>
      </c>
    </row>
    <row r="101" spans="1:8" x14ac:dyDescent="0.25">
      <c r="A101" s="79" t="s">
        <v>277</v>
      </c>
      <c r="B101" s="68">
        <f>IF(B18=N29,"4",IF(B18=N30,"6",IF(B18=N31,"3",IF(B18=N32,"5",IF(B18=N33,7,IF(B18=N34,9,IF(B18=N35,13,IF(B18=N36,17,IF(B18=N37,23,IF(B18=N38,25,IF(B18=N39,25,0)))))))))))</f>
        <v>0</v>
      </c>
      <c r="C101" s="68">
        <f>IF(B18=N29,"4",IF(B18=N30,"5",IF(B18=N31,"4",IF(B18=N32,"7",IF(B18=N33,10,IF(B18=N34,13,IF(B18=N35,16,IF(B18=N36,21,IF(B18=N37,26,IF(B18=N38,29,IF(B18=N39,30,0)))))))))))</f>
        <v>0</v>
      </c>
      <c r="D101" s="68">
        <f>IF(B18=N29,"3",IF(B18=N30,"4",IF(B18=N31,"2",IF(B18=N32,"5",IF(B18=N33,6,IF(B18=N34,9,IF(B18=N35,12,IF(B18=N36,16,IF(B18=N37,23,IF(B18=N38,24,IF(B18=N39,25,0)))))))))))</f>
        <v>0</v>
      </c>
      <c r="E101" s="68">
        <f>IF(B18=N29,"Max de répétitions",IF(B18=N30,"Max de répétitions",IF(B18=N31,"Max de répétitions et minimum 4",IF(B18=N32,"Max de répétitions et minimum 6",IF(B18=N33,"Max de répétitions et minimum 9",IF(B18=N34,"Max de répétitions et minimum 12",IF(B18=N35,"Max de répétitions et minimum 16",IF(B18=N36,"Max de répétitions et minimum 20",IF(B18=N37,"Max de répétitions et minimum 25",IF(B18=N38,"Max de répétitions et minimum 29",IF(B18=N39,"Max de répétitions et minimum 29",0)))))))))))</f>
        <v>0</v>
      </c>
      <c r="F101" s="68" t="s">
        <v>131</v>
      </c>
      <c r="G101" s="68" t="s">
        <v>128</v>
      </c>
      <c r="H101" s="68"/>
    </row>
    <row r="102" spans="1:8" x14ac:dyDescent="0.25">
      <c r="A102" s="79" t="s">
        <v>155</v>
      </c>
      <c r="B102" s="68">
        <f>IF(B16=N29,"4",IF(B16=N30,"6",IF(B16=N31,"3",IF(B16=N32,"5",IF(B16=N33,7,IF(B16=N34,9,IF(B16=N35,13,IF(B16=N36,17,IF(B16=N37,23,IF(B16=N38,25,IF(B16=N39,25,0)))))))))))</f>
        <v>0</v>
      </c>
      <c r="C102" s="68">
        <f>IF(B16=N29,"9",IF(B16=N30,"10",IF(B16=N31,"4",IF(B16=N32,"7",IF(B16=N33,10,IF(B16=N34,13,IF(B16=N35,16,IF(B16=N36,21,IF(B16=N37,26,IF(B16=N38,29,IF(B16=N39,30,0)))))))))))</f>
        <v>0</v>
      </c>
      <c r="D102" s="68">
        <f>IF(B16=N29,"6",IF(B16=N30,"8",IF(B16=N31,"2",IF(B16=N32,"5",IF(B16=N33,6,IF(B16=N34,9,IF(B16=N35,12,IF(B16=N36,16,IF(B16=N37,23,IF(B16=N38,24,IF(B16=N39,25,0)))))))))))</f>
        <v>0</v>
      </c>
      <c r="E102" s="68">
        <f>IF(B16=N29,"6",IF(B16=N30,"8",IF(B16=N31,"Max de répétitions et minimum 4",IF(B16=N32,"Max de répétitions et minimum 6",IF(B16=N33,"Max de répétitions et minimum 9",IF(B16=N34,"Max de répétitions et minimum 12",IF(B16=N35,"Max de répétitions et minimum 16",IF(B16=N36,"Max de répétitions et minimum 20",IF(B16=N37,"Max de répétitions et minimum 25",IF(B16=N38,"Max de répétitions et minimum 29",IF(B16=N39,"Max de répétitions et minimum 29",0)))))))))))</f>
        <v>0</v>
      </c>
      <c r="F102" s="68" t="s">
        <v>128</v>
      </c>
      <c r="G102" s="68" t="s">
        <v>127</v>
      </c>
      <c r="H102" s="76" t="str">
        <f>IF(OR(B16=N29,B16=N30),"Toutes les répétitions en excentrique","")</f>
        <v/>
      </c>
    </row>
    <row r="103" spans="1:8" x14ac:dyDescent="0.25">
      <c r="A103" s="79" t="s">
        <v>328</v>
      </c>
      <c r="B103" s="68">
        <f>IF(B15=N29,"4",IF(B15=N30,"6",IF(B15=N31,"3",IF(B15=N32,"5",IF(B15=N33,7,IF(B15=N34,9,IF(B15=N35,13,IF(B15=N36,17,IF(B15=N37,23,IF(B15=N38,25,IF(B15=N39,25,0)))))))))))</f>
        <v>0</v>
      </c>
      <c r="C103" s="68">
        <f>IF(B15=N29,"4",IF(B15=N30,"5",IF(B15=N31,"4",IF(B15=N32,"7",IF(B15=N33,10,IF(B15=N34,13,IF(B15=N35,16,IF(B15=N36,21,IF(B15=N37,26,IF(B15=N38,29,IF(B15=N39,30,0)))))))))))</f>
        <v>0</v>
      </c>
      <c r="D103" s="68">
        <f>IF(B15=N29,"Max de répétitions",IF(B15=N30,"Max de répétitions",IF(B15=N31,"Max de répétitions et minimum 4",IF(B15=N32,"Max de répétitions et minimum 6",IF(B15=N33,"Max de répétitions et minimum 9",IF(B15=N34,"Max de répétitions et minimum 12",IF(B15=N35,"Max de répétitions et minimum 16",IF(B15=N36,"Max de répétitions et minimum 20",IF(B15=N37,"Max de répétitions et minimum 25",IF(B15=N38,"Max de répétitions et minimum 29",IF(B15=N39,"Max de répétitions et minimum 29",0)))))))))))</f>
        <v>0</v>
      </c>
      <c r="E103" s="112"/>
      <c r="F103" s="68" t="s">
        <v>131</v>
      </c>
      <c r="G103" s="68" t="s">
        <v>131</v>
      </c>
      <c r="H103" s="76"/>
    </row>
    <row r="104" spans="1:8" x14ac:dyDescent="0.25">
      <c r="A104" s="79" t="s">
        <v>157</v>
      </c>
      <c r="B104" s="68">
        <f>IF(B17=N29,"4",IF(B17=N30,"6",IF(B17=N31,"3",IF(B17=N32,"5",IF(B17=N33,7,IF(B17=N34,9,IF(B17=N35,13,IF(B17=N36,17,IF(B17=N37,23,IF(B17=N38,25,IF(B17=N39,25,0)))))))))))</f>
        <v>0</v>
      </c>
      <c r="C104" s="68">
        <f>IF(B17=N29,"4",IF(B17=N30,"5",IF(B17=N31,"4",IF(B17=N32,"7",IF(B17=N33,10,IF(B17=N34,13,IF(B17=N35,16,IF(B17=N36,21,IF(B17=N37,26,IF(B17=N38,29,IF(B17=N39,30,0)))))))))))</f>
        <v>0</v>
      </c>
      <c r="D104" s="68">
        <f>IF(B17=N29,"Max de répétitions",IF(B17=N30,"Max de répétitions",IF(B17=N31,"Max de répétitions et minimum 4",IF(B17=N32,"Max de répétitions et minimum 6",IF(B17=N33,"Max de répétitions et minimum 9",IF(B17=N34,"Max de répétitions et minimum 12",IF(B17=N35,"Max de répétitions et minimum 16",IF(B17=N36,"Max de répétitions et minimum 20",IF(B17=N37,"Max de répétitions et minimum 25",IF(B17=N38,"Max de répétitions et minimum 29",IF(B17=N39,"Max de répétitions et minimum 29",0)))))))))))</f>
        <v>0</v>
      </c>
      <c r="E104" s="112"/>
      <c r="F104" s="68" t="s">
        <v>131</v>
      </c>
      <c r="G104" s="68" t="s">
        <v>131</v>
      </c>
      <c r="H104" s="68"/>
    </row>
    <row r="105" spans="1:8" x14ac:dyDescent="0.25">
      <c r="A105" s="79" t="s">
        <v>327</v>
      </c>
      <c r="B105" s="68">
        <f>IF(B19=N29,"4",IF(B19=N30,"6",IF(B19=N31,"3",IF(B19=N32,"5",IF(B19=N33,7,IF(B19=N34,9,IF(B19=N35,13,IF(B19=N36,17,IF(B19=N37,23,IF(B19=N38,25,IF(B19=N39,25,0)))))))))))</f>
        <v>0</v>
      </c>
      <c r="C105" s="68">
        <f>IF(B19=N29,"4",IF(B19=N30,"5",IF(B19=N31,"4",IF(B19=N32,"7",IF(B19=N33,10,IF(B19=N34,13,IF(B19=N35,16,IF(B19=N36,21,IF(B19=N37,26,IF(B19=N38,29,IF(B19=N39,30,0)))))))))))</f>
        <v>0</v>
      </c>
      <c r="D105" s="68">
        <f>IF(B19=N29,"Max de répétitions",IF(B19=N30,"Max de répétitions",IF(B19=N31,"Max de répétitions et minimum 4",IF(B19=N32,"Max de répétitions et minimum 6",IF(B19=N33,"Max de répétitions et minimum 9",IF(B19=N34,"Max de répétitions et minimum 12",IF(B19=N35,"Max de répétitions et minimum 16",IF(B19=N36,"Max de répétitions et minimum 20",IF(B19=N37,"Max de répétitions et minimum 25",IF(B19=N38,"Max de répétitions et minimum 29",IF(B19=N39,"Max de répétitions et minimum 29",0)))))))))))</f>
        <v>0</v>
      </c>
      <c r="E105" s="112"/>
      <c r="F105" s="68" t="s">
        <v>131</v>
      </c>
      <c r="G105" s="112"/>
      <c r="H105" s="68"/>
    </row>
    <row r="106" spans="1:8" ht="15.75" thickBot="1" x14ac:dyDescent="0.3">
      <c r="A106" s="214" t="s">
        <v>290</v>
      </c>
      <c r="B106" s="215"/>
      <c r="C106" s="215"/>
      <c r="D106" s="215"/>
      <c r="E106" s="215"/>
      <c r="F106" s="215"/>
      <c r="G106" s="215"/>
      <c r="H106" s="215"/>
    </row>
    <row r="107" spans="1:8" x14ac:dyDescent="0.25">
      <c r="A107" s="72" t="s">
        <v>291</v>
      </c>
      <c r="B107" s="208" t="s">
        <v>324</v>
      </c>
      <c r="C107" s="209"/>
      <c r="D107" s="209"/>
      <c r="E107" s="209"/>
      <c r="F107" s="1"/>
      <c r="G107" s="1"/>
      <c r="H107" s="147" t="s">
        <v>325</v>
      </c>
    </row>
    <row r="108" spans="1:8" x14ac:dyDescent="0.25">
      <c r="A108" s="73" t="s">
        <v>2</v>
      </c>
      <c r="B108" s="74" t="s">
        <v>3</v>
      </c>
      <c r="C108" s="74" t="s">
        <v>4</v>
      </c>
      <c r="D108" s="74" t="s">
        <v>5</v>
      </c>
      <c r="E108" s="74" t="s">
        <v>6</v>
      </c>
      <c r="F108" s="74" t="s">
        <v>124</v>
      </c>
      <c r="G108" s="74" t="s">
        <v>125</v>
      </c>
      <c r="H108" s="74" t="s">
        <v>123</v>
      </c>
    </row>
    <row r="109" spans="1:8" x14ac:dyDescent="0.25">
      <c r="A109" s="105" t="s">
        <v>174</v>
      </c>
      <c r="B109" s="68">
        <f>IF(B23=N29,"4",IF(B23=N30,"6",IF(B23=N31,"3",IF(B23=N32,"5",IF(B23=N33,7,IF(B23=N34,9,IF(B23=N35,13,IF(B23=N36,17,IF(B23=N37,23,IF(B23=N38,25,IF(B23=N39,25,0)))))))))))</f>
        <v>0</v>
      </c>
      <c r="C109" s="68">
        <f>IF(B23=N29,"4",IF(B23=N30,"5",IF(B23=N31,"4",IF(B23=N32,"7",IF(B23=N33,10,IF(B23=N34,13,IF(B23=N35,16,IF(B23=N36,21,IF(B23=N37,26,IF(B23=N38,29,IF(B23=N39,30,0)))))))))))</f>
        <v>0</v>
      </c>
      <c r="D109" s="68">
        <f>IF(B23=N29,"3",IF(B23=N30,"4",IF(B23=N31,"2",IF(B23=N32,"5",IF(B23=N33,6,IF(B23=N34,9,IF(B23=N35,12,IF(B23=N36,16,IF(B23=N37,23,IF(B23=N38,24,IF(B23=N39,25,0)))))))))))</f>
        <v>0</v>
      </c>
      <c r="E109" s="68">
        <f>IF(B23=N29,"Max de répétitions",IF(B23=N30,"Max de répétitions",IF(B23=N31,"Max de répétitions et minimum 4",IF(B23=N32,"Max de répétitions et minimum 6",IF(B23=N33,"Max de répétitions et minimum 9",IF(B23=N34,"Max de répétitions et minimum 12",IF(B23=N35,"Max de répétitions et minimum 16",IF(B23=N36,"Max de répétitions et minimum 20",IF(B23=N37,"Max de répétitions et minimum 25",IF(B23=N38,"Max de répétitions et minimum 29",IF(B23=N39,"Max de répétitions et minimum 29",0)))))))))))</f>
        <v>0</v>
      </c>
      <c r="F109" s="68" t="s">
        <v>130</v>
      </c>
      <c r="G109" s="68" t="s">
        <v>128</v>
      </c>
      <c r="H109" s="76" t="s">
        <v>137</v>
      </c>
    </row>
    <row r="110" spans="1:8" ht="15.75" thickBot="1" x14ac:dyDescent="0.3">
      <c r="A110" s="105" t="s">
        <v>270</v>
      </c>
      <c r="B110" s="68">
        <f>IF(B21=N29,"4",IF(B21=N30,"6",IF(B21=N31,"3",IF(B21=N32,"5",IF(B21=N33,7,IF(B21=N34,9,IF(B21=N35,13,IF(B21=N36,17,IF(B21=N37,23,IF(B21=N38,25,IF(B21=N39,25,0)))))))))))</f>
        <v>0</v>
      </c>
      <c r="C110" s="68">
        <f>IF(B21=N29,"4",IF(B21=N30,"5",IF(B21=N31,"4",IF(B21=N32,"7",IF(B21=N33,10,IF(B21=N34,13,IF(B21=N35,16,IF(B21=N36,21,IF(B21=N37,26,IF(B21=N38,29,IF(B21=N39,30,0)))))))))))</f>
        <v>0</v>
      </c>
      <c r="D110" s="68">
        <f>IF(B21=N29,"3",IF(B21=N30,"4",IF(B21=N31,"2",IF(B21=N32,"5",IF(B21=N33,6,IF(B21=N34,9,IF(B21=N35,12,IF(B21=N36,16,IF(B21=N37,23,IF(B21=N38,24,IF(B21=N39,25,0)))))))))))</f>
        <v>0</v>
      </c>
      <c r="E110" s="68">
        <f>IF(B21=N29,"Max de répétitions",IF(B21=N30,"Max de répétitions",IF(B21=N31,"Max de répétitions et minimum 4",IF(B21=N32,"Max de répétitions et minimum 6",IF(B21=N33,"Max de répétitions et minimum 9",IF(B21=N34,"Max de répétitions et minimum 12",IF(B21=N35,"Max de répétitions et minimum 16",IF(B21=N36,"Max de répétitions et minimum 20",IF(B21=N37,"Max de répétitions et minimum 25",IF(B21=N38,"Max de répétitions et minimum 29",IF(B21=N39,"Max de répétitions et minimum 29",0)))))))))))</f>
        <v>0</v>
      </c>
      <c r="F110" s="68" t="s">
        <v>130</v>
      </c>
      <c r="G110" s="68" t="s">
        <v>127</v>
      </c>
      <c r="H110" s="68"/>
    </row>
    <row r="111" spans="1:8" ht="15.75" thickBot="1" x14ac:dyDescent="0.3">
      <c r="A111" s="104" t="s">
        <v>166</v>
      </c>
      <c r="B111" s="68">
        <f>IF(B22=N29,"4",IF(B22=N30,"6",IF(B22=N31,"3",IF(B22=N32,"5",IF(B22=N33,7,IF(B22=N34,9,IF(B22=N35,13,IF(B22=N36,17,IF(B22=N37,23,IF(B22=N38,25,IF(B22=N39,25,0)))))))))))</f>
        <v>0</v>
      </c>
      <c r="C111" s="68">
        <f>IF(B22=N29,"4",IF(B22=N30,"5",IF(B22=N31,"4",IF(B22=N32,"7",IF(B22=N33,10,IF(B22=N34,13,IF(B22=N35,16,IF(B22=N36,21,IF(B22=N37,26,IF(B22=N38,29,IF(B22=N39,30,0)))))))))))</f>
        <v>0</v>
      </c>
      <c r="D111" s="68">
        <f>IF(B22=N29,"Max de répétitions",IF(B22=N30,"Max de répétitions",IF(B22=N31,"Max de répétitions et minimum 4",IF(B22=N32,"Max de répétitions et minimum 6",IF(B22=N33,"Max de répétitions et minimum 9",IF(B22=N34,"Max de répétitions et minimum 12",IF(B22=N35,"Max de répétitions et minimum 16",IF(B22=N36,"Max de répétitions et minimum 20",IF(B22=N37,"Max de répétitions et minimum 25",IF(B22=N38,"Max de répétitions et minimum 29",IF(B22=N39,"Max de répétitions et minimum 29",0)))))))))))</f>
        <v>0</v>
      </c>
      <c r="E111" s="112"/>
      <c r="F111" s="68" t="s">
        <v>130</v>
      </c>
      <c r="G111" s="68" t="s">
        <v>128</v>
      </c>
      <c r="H111" s="68"/>
    </row>
    <row r="112" spans="1:8" x14ac:dyDescent="0.25">
      <c r="A112" s="105" t="s">
        <v>271</v>
      </c>
      <c r="B112" s="68">
        <f>IF(B24=N29,"4",IF(B24=N30,"6",IF(B24=N31,"3",IF(B24=N32,"5",IF(B24=N33,7,IF(B24=N34,9,IF(B24=N35,13,IF(B24=N36,17,IF(B24=N37,23,IF(B24=N38,25,IF(B24=N39,25,0)))))))))))</f>
        <v>0</v>
      </c>
      <c r="C112" s="68">
        <f>IF(B24=N29,"4",IF(B24=N30,"5",IF(B24=N31,"4",IF(B24=N32,"7",IF(B24=N33,10,IF(B24=N34,13,IF(B24=N35,16,IF(B24=N36,21,IF(B24=N37,26,IF(B24=N38,29,IF(B24=N39,30,0)))))))))))</f>
        <v>0</v>
      </c>
      <c r="D112" s="68">
        <f>IF(B24=N29,"Max de répétitions",IF(B24=N30,"Max de répétitions",IF(B24=N31,"Max de répétitions et minimum 4",IF(B24=N32,"Max de répétitions et minimum 6",IF(B24=N33,"Max de répétitions et minimum 9",IF(B24=N34,"Max de répétitions et minimum 12",IF(B24=N35,"Max de répétitions et minimum 16",IF(B24=N36,"Max de répétitions et minimum 20",IF(B24=N37,"Max de répétitions et minimum 25",IF(B24=N38,"Max de répétitions et minimum 29",IF(B24=N39,"Max de répétitions et minimum 29",0)))))))))))</f>
        <v>0</v>
      </c>
      <c r="E112" s="112"/>
      <c r="F112" s="68" t="s">
        <v>292</v>
      </c>
      <c r="G112" s="68" t="s">
        <v>292</v>
      </c>
      <c r="H112" s="68"/>
    </row>
    <row r="113" spans="1:8" x14ac:dyDescent="0.25">
      <c r="A113" s="105" t="s">
        <v>171</v>
      </c>
      <c r="B113" s="68">
        <f>IF(B25=M29,"4",IF(B25=M30,"8",IF(B25=M31,"11",IF(B25=M32,"16",IF(B25=M33,20,IF(B25=M34,13,IF(B25=M35,18,IF(B25=M36,20,IF(B25=M37,20,IF(B25=M38,22,IF(B25=M39,26,IF(B25=M40,28,0))))))))))))</f>
        <v>0</v>
      </c>
      <c r="C113" s="68">
        <f>IF(B25=M29,"5",IF(B25=M30,"10",IF(B25=M31,"13",IF(B25=M32,"21",IF(B25=M33,27,IF(B25=M34,13,IF(B25=M35,20,IF(B25=M36,24,IF(B25=M37,27,IF(B25=M38,30,IF(B25=M39,33,IF(B25=M40,35,0))))))))))))</f>
        <v>0</v>
      </c>
      <c r="D113" s="68">
        <f>IF(B25=M29,"Max de répétitions et minimum 5",IF(B25=M30,"Max de répétitions et minimum 10",IF(B25=M31,"Max de répétitions et minimum 13",IF(B25=M32,"Max de répétitions et minimum 21",IF(B25=M33,"Max de répétitions et minimum 25",IF(B25=M34,"Max de répétitions et minimum 30",IF(B25=M35,"Max de répétitions et minimum 35",IF(B25=M36,"Max de répétitions et minimum 40",IF(B25=M37,"Max de répétitions et minimum 44",IF(B25=M38,"Max de répétitions et minimum 55",IF(B25=M39,"Max de répétitions et minimum 60",IF(B25=M40,"Max de répétitions et minimum 60",0))))))))))))</f>
        <v>0</v>
      </c>
      <c r="E113" s="112"/>
      <c r="F113" s="68" t="s">
        <v>130</v>
      </c>
      <c r="G113" s="68" t="s">
        <v>293</v>
      </c>
      <c r="H113" s="68"/>
    </row>
    <row r="114" spans="1:8" x14ac:dyDescent="0.25">
      <c r="A114" s="105" t="s">
        <v>161</v>
      </c>
      <c r="B114" s="68">
        <f>IF(B26=N29,"4",IF(B26=N30,"6",IF(B26=N31,"3",IF(B26=N32,"5",IF(B26=N33,7,IF(B26=N34,9,IF(B26=N35,13,IF(B26=N36,17,IF(B26=N37,23,IF(B26=N38,25,IF(B26=N39,25,0)))))))))))</f>
        <v>0</v>
      </c>
      <c r="C114" s="68">
        <f>IF(B26=N29,"4",IF(B26=N30,"5",IF(B26=N31,"4",IF(B26=N32,"7",IF(B26=N33,10,IF(B26=N34,13,IF(B26=N35,16,IF(B26=N36,21,IF(B26=N37,26,IF(B26=N38,29,IF(B26=N39,30,0)))))))))))</f>
        <v>0</v>
      </c>
      <c r="D114" s="68">
        <f>IF(B26=N29,"Max de répétitions",IF(B26=N30,"Max de répétitions",IF(B26=N31,"Max de répétitions et minimum 4",IF(B26=N32,"Max de répétitions et minimum 6",IF(B26=N33,"Max de répétitions et minimum 9",IF(B26=N34,"Max de répétitions et minimum 12",IF(B26=N35,"Max de répétitions et minimum 16",IF(B26=N36,"Max de répétitions et minimum 20",IF(B26=N37,"Max de répétitions et minimum 25",IF(B26=N38,"Max de répétitions et minimum 29",IF(B26=N39,"Max de répétitions et minimum 29",0)))))))))))</f>
        <v>0</v>
      </c>
      <c r="E114" s="112"/>
      <c r="F114" s="68" t="s">
        <v>131</v>
      </c>
      <c r="G114" s="112"/>
      <c r="H114" s="68"/>
    </row>
    <row r="115" spans="1:8" x14ac:dyDescent="0.25">
      <c r="A115" s="214" t="s">
        <v>139</v>
      </c>
      <c r="B115" s="215"/>
      <c r="C115" s="215"/>
      <c r="D115" s="215"/>
      <c r="E115" s="215"/>
      <c r="F115" s="215"/>
      <c r="G115" s="215"/>
      <c r="H115" s="215"/>
    </row>
    <row r="116" spans="1:8" x14ac:dyDescent="0.25">
      <c r="A116" s="214" t="s">
        <v>140</v>
      </c>
      <c r="B116" s="215"/>
      <c r="C116" s="215"/>
      <c r="D116" s="215"/>
      <c r="E116" s="215"/>
      <c r="F116" s="215"/>
      <c r="G116" s="215"/>
      <c r="H116" s="215"/>
    </row>
    <row r="117" spans="1:8" x14ac:dyDescent="0.25">
      <c r="A117" s="77"/>
      <c r="B117" s="77"/>
      <c r="C117" s="77"/>
      <c r="D117" s="77"/>
      <c r="E117" s="77"/>
      <c r="F117" s="77"/>
      <c r="G117" s="77"/>
      <c r="H117" s="77"/>
    </row>
    <row r="118" spans="1:8" ht="15.75" thickBot="1" x14ac:dyDescent="0.3">
      <c r="A118" s="213" t="s">
        <v>294</v>
      </c>
      <c r="B118" s="213"/>
      <c r="C118" s="213"/>
      <c r="D118" s="213"/>
      <c r="E118" s="213"/>
      <c r="F118" s="213"/>
      <c r="G118" s="213"/>
      <c r="H118" s="213"/>
    </row>
    <row r="119" spans="1:8" x14ac:dyDescent="0.25">
      <c r="A119" s="72" t="s">
        <v>272</v>
      </c>
      <c r="B119" s="208" t="s">
        <v>324</v>
      </c>
      <c r="C119" s="209"/>
      <c r="D119" s="209"/>
      <c r="E119" s="209"/>
      <c r="F119" s="1"/>
      <c r="G119" s="1"/>
      <c r="H119" s="147" t="s">
        <v>325</v>
      </c>
    </row>
    <row r="120" spans="1:8" x14ac:dyDescent="0.25">
      <c r="A120" s="73" t="s">
        <v>2</v>
      </c>
      <c r="B120" s="74" t="s">
        <v>3</v>
      </c>
      <c r="C120" s="74" t="s">
        <v>4</v>
      </c>
      <c r="D120" s="74" t="s">
        <v>5</v>
      </c>
      <c r="E120" s="74" t="s">
        <v>6</v>
      </c>
      <c r="F120" s="74" t="s">
        <v>124</v>
      </c>
      <c r="G120" s="74" t="s">
        <v>125</v>
      </c>
      <c r="H120" s="74" t="s">
        <v>123</v>
      </c>
    </row>
    <row r="121" spans="1:8" x14ac:dyDescent="0.25">
      <c r="A121" s="79" t="s">
        <v>148</v>
      </c>
      <c r="B121" s="68">
        <f>IF(B9=N29,"5",IF(B9=N30,"6",IF(B9=N31,"3",IF(B9=N32,"5",IF(B9=N33,7,IF(B9=N34,10,IF(B9=N35,14,IF(B9=N36,17,IF(B9=N37,24,IF(B9=N38,26,IF(B9=N39,26,0)))))))))))</f>
        <v>0</v>
      </c>
      <c r="C121" s="68">
        <f>IF(B9=N29,"8",IF(B9=N30,"11",IF(B9=N31,"4",IF(B9=N32,"8",IF(B9=N33,10,IF(B9=N34,14,IF(B9=N35,19,IF(B9=N36,22,IF(B9=N37,27,IF(B9=N38,30,IF(B9=N39,31,0)))))))))))</f>
        <v>0</v>
      </c>
      <c r="D121" s="68">
        <f>IF(B9=N29,"7",IF(B9=N30,"8",IF(B9=N31,"3",IF(B9=N32,"5",IF(B9=N33,7,IF(B9=N34,10,IF(B9=N35,13,IF(B9=N36,17,IF(B9=N37,24,IF(B9=N38,25,IF(B9=N39,25,0)))))))))))</f>
        <v>0</v>
      </c>
      <c r="E121" s="68">
        <f>IF(B9=N29,"7",IF(B9=N30,"8",IF(B9=N31,"Max de répétitions et minimum 4",IF(B9=N32,"Max de répétitions et minimum 8",IF(B9=N33,"Max de répétitions et minimum 10",IF(B9=N34,"Max de répétitions et minimum 13",IF(B9=N35,"Max de répétitions et minimum 19",IF(B9=N36,"Max de répétitions et minimum 22",IF(B9=N37,"Max de répétitions et minimum 26",IF(B9=N38,"Max de répétitions et minimum 30",IF(B9=N39,"Max de répétitions et minimum 31",0)))))))))))</f>
        <v>0</v>
      </c>
      <c r="F121" s="68" t="s">
        <v>127</v>
      </c>
      <c r="G121" s="68" t="s">
        <v>128</v>
      </c>
      <c r="H121" s="114" t="str">
        <f>IF(OR(B9=N29,B9=N30),"Toutes les répétitions en excentrique : voir vidéo","")</f>
        <v/>
      </c>
    </row>
    <row r="122" spans="1:8" x14ac:dyDescent="0.25">
      <c r="A122" s="86" t="s">
        <v>147</v>
      </c>
      <c r="B122" s="68">
        <f>IF(B8=M29,"5",IF(B8=M30,"9",IF(B8=M31,"12",IF(B8=M32,"18",IF(B8=M33,21,IF(B8=M34, "voir note",IF(B8=M35,"voir note",IF(B8=M36,"voir note",IF(B8=M37,"voir note",IF(B8=M38,"voir note",IF(B8=M39,"voir note",IF(B8=M40,"voir note",0))))))))))))</f>
        <v>0</v>
      </c>
      <c r="C122" s="68">
        <f>IF(B8=M29,"6",IF(B8=M30,"11",IF(B8=M31,"14",IF(B8=M32,"22",IF(B8=M33,25,IF(B8=M34,"voir note",IF(B8=M35,"voir note",IF(B8=M36,"voir note",IF(B8=M37,"voir note",IF(B8=M38,"voir note",IF(B8=M39,"voir note",IF(B8=M40,"voir note",0))))))))))))</f>
        <v>0</v>
      </c>
      <c r="D122" s="68">
        <f>IF(B8=M29,"4",IF(B8=M30,"8",IF(B8=M31,"10",IF(B8=M32,"16",IF(B8=M33,21,IF(B8=M34,"voir note",IF(B8=M35,"voir note",IF(B8=M36,"voir note",IF(B8=M37,"voir note",IF(B8=M38,"voir note",IF(B8=M39,"voir note",IF(B8=M40,"voir note",0))))))))))))</f>
        <v>0</v>
      </c>
      <c r="E122" s="68">
        <f>IF(B8=M29,"Max de répétitions et minimum 6",IF(B8=M30,"Max de répétitions et minimum 11",IF(B8=M31,"Max de répétitions et minimum 15",IF(B8=M32,"Max de répétitions et minimum 21",IF(B8=M33,"Max de répétitions et minimum 27",IF(B8=M34,"voir note",IF(B8=M35,"voir note",IF(B8=M36,"voir note",IF(B8=M37,"voir note",IF(B8=M38,"voir note",IF(B8=M39,"voir note",IF(B8=M40,"voir note",0))))))))))))</f>
        <v>0</v>
      </c>
      <c r="F122" s="68" t="s">
        <v>127</v>
      </c>
      <c r="G122" s="68" t="s">
        <v>128</v>
      </c>
      <c r="H122" s="116" t="str">
        <f>IF(B8&gt;M33,"Refaire le test : 1 x max et mettre à jour l'onglet résultat du test","")</f>
        <v/>
      </c>
    </row>
    <row r="123" spans="1:8" x14ac:dyDescent="0.25">
      <c r="A123" s="86" t="s">
        <v>252</v>
      </c>
      <c r="B123" s="68">
        <f>IF(B10=M29,"5",IF(B10=M30,"9",IF(B10=M31,"12",IF(B10=M32,"18",IF(B10=M33,21,IF(B10=M34, "voir note",IF(B10=M35,"voir note",IF(B10=M36,"voir note",IF(B10=M37,"voir note",IF(B10=M38,"voir note",IF(B10=M39,"voir note",IF(B10=M40,"voir note",0))))))))))))</f>
        <v>0</v>
      </c>
      <c r="C123" s="68">
        <f>IF(B10=M29,"6",IF(B10=M30,"11",IF(B10=M31,"14",IF(B10=M32,"22",IF(B10=M33,25,IF(B10=M34,"voir note",IF(B10=M35,"voir note",IF(B10=M36,"voir note",IF(B10=M37,"voir note",IF(B10=M38,"voir note",IF(B10=M39,"voir note",IF(B10=M40,"voir note",0))))))))))))</f>
        <v>0</v>
      </c>
      <c r="D123" s="68">
        <f>IF(B10=M29,"Max de répétitions et minimum 6",IF(B10=M30,"Max de répétitions et minimum 11",IF(B10=M31,"Max de répétitions et minimum 15",IF(B10=M32,"Max de répétitions et minimum 21",IF(B10=M33,"Max de répétitions et minimum 27",IF(B10=M34,"voir note",IF(B10=M35,"voir note",IF(B10=M36,"voir note",IF(B10=M37,"voir note",IF(B10=M38,"voir note",IF(B10=M39,"voir note",IF(B10=M40,"voir note",0))))))))))))</f>
        <v>0</v>
      </c>
      <c r="E123" s="115"/>
      <c r="F123" s="68" t="s">
        <v>131</v>
      </c>
      <c r="G123" s="68" t="s">
        <v>127</v>
      </c>
      <c r="H123" s="116" t="str">
        <f>IF(B10&gt;M33,"Refaire le test : 1 x max et mettre à jour l'onglet résultat du test","")</f>
        <v/>
      </c>
    </row>
    <row r="124" spans="1:8" x14ac:dyDescent="0.25">
      <c r="A124" s="86" t="s">
        <v>273</v>
      </c>
      <c r="B124" s="68">
        <f>IF(B11=N29,"5",IF(B11=N30,"6",IF(B11=N31,"3",IF(B11=N32,"5",IF(B11=N33,7,IF(B11=N34,10,IF(B11=N35,14,IF(B11=N36,17,IF(B11=N37,24,IF(B11=N38,26,IF(B11=N39,26,0)))))))))))</f>
        <v>0</v>
      </c>
      <c r="C124" s="68">
        <f>IF(B11=N29,"4",IF(B11=N30,"6",IF(B11=N31,"4",IF(B11=N32,"8",IF(B11=N33,10,IF(B11=N34,14,IF(B11=N35,19,IF(B11=N36,22,IF(B11=N37,27,IF(B11=N38,30,IF(B11=N39,31,0)))))))))))</f>
        <v>0</v>
      </c>
      <c r="D124" s="68">
        <f>IF(B11=N29,"Max de répétitions",IF(B11=N30,"Max de répétitions",IF(B11=N31,"Max de répétitions et minimum 4",IF(B11=N32,"Max de répétitions et minimum 8",IF(B11=N33,"Max de répétitions et minimum 10",IF(B11=N34,"Max de répétitions et minimum 13",IF(B11=N35,"Max de répétitions et minimum 19",IF(B11=N36,"Max de répétitions et minimum 22",IF(B11=N37,"Max de répétitions et minimum 26",IF(B11=N38,"Max de répétitions et minimum 30",IF(B11=N39,"Max de répétitions et minimum 31",0)))))))))))</f>
        <v>0</v>
      </c>
      <c r="E124" s="115"/>
      <c r="F124" s="68" t="s">
        <v>131</v>
      </c>
      <c r="G124" s="68" t="s">
        <v>127</v>
      </c>
      <c r="H124" s="68"/>
    </row>
    <row r="125" spans="1:8" x14ac:dyDescent="0.25">
      <c r="A125" s="79" t="s">
        <v>274</v>
      </c>
      <c r="B125" s="68">
        <f>IF(B12=N29,"5",IF(B12=N30,"6",IF(B12=N31,"3",IF(B12=N32,"5",IF(B12=N33,7,IF(B12=N34,10,IF(B12=N35,14,IF(B12=N36,17,IF(B12=N37,24,IF(B12=N38,26,IF(B12=N39,26,0)))))))))))</f>
        <v>0</v>
      </c>
      <c r="C125" s="68">
        <f>IF(B12=N29,"4",IF(B12=N30,"6",IF(B12=N31,"4",IF(B12=N32,"8",IF(B12=N33,10,IF(B12=N34,14,IF(B12=N35,19,IF(B12=N36,22,IF(B12=N37,27,IF(B12=N38,30,IF(B12=N39,31,0)))))))))))</f>
        <v>0</v>
      </c>
      <c r="D125" s="68">
        <f>IF(B12=N29,"Max de répétitions",IF(B12=N30,"Max de répétitions",IF(B12=N31,"Max de répétitions et minimum 4",IF(B12=N32,"Max de répétitions et minimum 8",IF(B12=N33,"Max de répétitions et minimum 10",IF(B12=N34,"Max de répétitions et minimum 13",IF(B12=N35,"Max de répétitions et minimum 19",IF(B12=N36,"Max de répétitions et minimum 22",IF(B12=N37,"Max de répétitions et minimum 26",IF(B12=N38,"Max de répétitions et minimum 30",IF(B12=N39,"Max de répétitions et minimum 31",0)))))))))))</f>
        <v>0</v>
      </c>
      <c r="E125" s="115"/>
      <c r="F125" s="68" t="s">
        <v>131</v>
      </c>
      <c r="G125" s="68" t="s">
        <v>127</v>
      </c>
      <c r="H125" s="68"/>
    </row>
    <row r="126" spans="1:8" x14ac:dyDescent="0.25">
      <c r="A126" s="79" t="s">
        <v>282</v>
      </c>
      <c r="B126" s="68">
        <f>IF(B13=N29,"5",IF(B13=N30,"6",IF(B13=N31,"3",IF(B13=N32,"5",IF(B13=N33,7,IF(B13=N34,10,IF(B13=N35,14,IF(B13=N36,17,IF(B13=N37,24,IF(B13=N38,26,IF(B13=N39,26,0)))))))))))</f>
        <v>0</v>
      </c>
      <c r="C126" s="68">
        <f>IF(B13=N29,"4",IF(B13=N30,"6",IF(B13=N31,"4",IF(B13=N32,"8",IF(B13=N33,10,IF(B13=N34,14,IF(B13=N35,19,IF(B13=N36,22,IF(B13=N37,27,IF(B13=N38,30,IF(B13=N39,31,0)))))))))))</f>
        <v>0</v>
      </c>
      <c r="D126" s="68">
        <f>IF(B13=N29,"Max de répétitions",IF(B13=N30,"Max de répétitions",IF(B13=N31,"Max de répétitions et minimum 4",IF(B13=N32,"Max de répétitions et minimum 8",IF(B13=N33,"Max de répétitions et minimum 10",IF(B13=N34,"Max de répétitions et minimum 13",IF(B13=N35,"Max de répétitions et minimum 19",IF(B13=N36,"Max de répétitions et minimum 22",IF(B13=N37,"Max de répétitions et minimum 26",IF(B13=N38,"Max de répétitions et minimum 30",IF(B13=N39,"Max de répétitions et minimum 31",0)))))))))))</f>
        <v>0</v>
      </c>
      <c r="E126" s="115"/>
      <c r="F126" s="68" t="s">
        <v>131</v>
      </c>
      <c r="G126" s="112"/>
      <c r="H126" s="68"/>
    </row>
    <row r="127" spans="1:8" ht="15.75" thickBot="1" x14ac:dyDescent="0.3">
      <c r="A127" s="214" t="s">
        <v>289</v>
      </c>
      <c r="B127" s="215"/>
      <c r="C127" s="215"/>
      <c r="D127" s="215"/>
      <c r="E127" s="215"/>
      <c r="F127" s="215"/>
      <c r="G127" s="215"/>
      <c r="H127" s="215"/>
    </row>
    <row r="128" spans="1:8" x14ac:dyDescent="0.25">
      <c r="A128" s="72" t="s">
        <v>286</v>
      </c>
      <c r="B128" s="208" t="s">
        <v>324</v>
      </c>
      <c r="C128" s="209"/>
      <c r="D128" s="209"/>
      <c r="E128" s="209"/>
      <c r="F128" s="1"/>
      <c r="G128" s="1"/>
      <c r="H128" s="147" t="s">
        <v>325</v>
      </c>
    </row>
    <row r="129" spans="1:8" x14ac:dyDescent="0.25">
      <c r="A129" s="73" t="s">
        <v>2</v>
      </c>
      <c r="B129" s="74" t="s">
        <v>3</v>
      </c>
      <c r="C129" s="74" t="s">
        <v>4</v>
      </c>
      <c r="D129" s="74" t="s">
        <v>5</v>
      </c>
      <c r="E129" s="74" t="s">
        <v>6</v>
      </c>
      <c r="F129" s="74" t="s">
        <v>124</v>
      </c>
      <c r="G129" s="74" t="s">
        <v>125</v>
      </c>
      <c r="H129" s="74" t="s">
        <v>123</v>
      </c>
    </row>
    <row r="130" spans="1:8" x14ac:dyDescent="0.25">
      <c r="A130" s="79" t="s">
        <v>155</v>
      </c>
      <c r="B130" s="68">
        <f>IF(B16=N29,"5",IF(B16=N30,"6",IF(B16=N31,"3",IF(B16=N32,"5",IF(B16=N33,7,IF(B16=N34,10,IF(B16=N35,14,IF(B16=N36,17,IF(B16=N37,24,IF(B16=N38,26,IF(B16=N39,26,0)))))))))))</f>
        <v>0</v>
      </c>
      <c r="C130" s="68">
        <f>IF(B16=N29,"8",IF(B16=N30,"11",IF(B16=N31,"4",IF(B16=N32,"8",IF(B16=N33,10,IF(B16=N34,14,IF(B16=N35,19,IF(B16=N36,22,IF(B16=N37,27,IF(B16=N38,30,IF(B16=N39,31,0)))))))))))</f>
        <v>0</v>
      </c>
      <c r="D130" s="68">
        <f>IF(B16=N29,"7",IF(B16=N30,"8",IF(B16=N31,"3",IF(B16=N32,"5",IF(B16=N33,7,IF(B16=N34,10,IF(B16=N35,13,IF(B16=N36,17,IF(B16=N37,24,IF(B16=N38,25,IF(B16=N39,25,0)))))))))))</f>
        <v>0</v>
      </c>
      <c r="E130" s="68">
        <f>IF(B16=N29,"7",IF(B16=N30,"8",IF(B16=N31,"Max de répétitions et minimum 4",IF(B16=N32,"Max de répétitions et minimum 8",IF(B16=N33,"Max de répétitions et minimum 10",IF(B16=N34,"Max de répétitions et minimum 13",IF(B16=N35,"Max de répétitions et minimum 19",IF(B16=N36,"Max de répétitions et minimum 22",IF(B16=N37,"Max de répétitions et minimum 26",IF(B16=N38,"Max de répétitions et minimum 30",IF(B16=N39,"Max de répétitions et minimum 31",0)))))))))))</f>
        <v>0</v>
      </c>
      <c r="F130" s="68" t="s">
        <v>128</v>
      </c>
      <c r="G130" s="68" t="s">
        <v>127</v>
      </c>
      <c r="H130" s="76" t="str">
        <f>IF(OR(B16=N29,B16=N30),"Toutes les répétitions en excentrique","")</f>
        <v/>
      </c>
    </row>
    <row r="131" spans="1:8" x14ac:dyDescent="0.25">
      <c r="A131" s="79" t="s">
        <v>328</v>
      </c>
      <c r="B131" s="68">
        <f>IF(B15=N29,"5",IF(B15=N30,"6",IF(B15=N31,"3",IF(B15=N32,"5",IF(B15=N33,7,IF(B15=N34,10,IF(B15=N35,14,IF(B15=N36,17,IF(B15=N37,24,IF(B15=N38,26,IF(B15=N39,26,0)))))))))))</f>
        <v>0</v>
      </c>
      <c r="C131" s="68">
        <f>IF(B15=N29,"4",IF(B15=N30,"6",IF(B15=N31,"4",IF(B15=N32,"8",IF(B15=N33,10,IF(B15=N34,14,IF(B15=N35,19,IF(B15=N36,22,IF(B15=N37,27,IF(B15=N38,30,IF(B15=N39,31,0)))))))))))</f>
        <v>0</v>
      </c>
      <c r="D131" s="68">
        <f>IF(B15=N29,"4",IF(B15=N30,"4",IF(B15=N31,"3",IF(B15=N32,"5",IF(B15=N33,7,IF(B15=N34,10,IF(B15=N35,13,IF(B15=N36,17,IF(B15=N37,24,IF(B15=N38,25,IF(B15=N39,25,0)))))))))))</f>
        <v>0</v>
      </c>
      <c r="E131" s="68">
        <f>IF(B15=N29,"Max de répétitions",IF(B15=N30,"Max de répétitions",IF(B15=N31,"Max de répétitions et minimum 4",IF(B15=N32,"Max de répétitions et minimum 8",IF(B15=N33,"Max de répétitions et minimum 10",IF(B15=N34,"Max de répétitions et minimum 13",IF(B15=N35,"Max de répétitions et minimum 19",IF(B15=N36,"Max de répétitions et minimum 22",IF(B15=N37,"Max de répétitions et minimum 26",IF(B15=N38,"Max de répétitions et minimum 30",IF(B15=N39,"Max de répétitions et minimum 31",0)))))))))))</f>
        <v>0</v>
      </c>
      <c r="F131" s="68" t="s">
        <v>131</v>
      </c>
      <c r="G131" s="68" t="s">
        <v>131</v>
      </c>
      <c r="H131" s="68"/>
    </row>
    <row r="132" spans="1:8" x14ac:dyDescent="0.25">
      <c r="A132" s="79" t="s">
        <v>277</v>
      </c>
      <c r="B132" s="68">
        <f>IF(B18=N29,"5",IF(B18=N30,"6",IF(B18=N31,"3",IF(B18=N32,"5",IF(B18=N33,7,IF(B18=N34,10,IF(B18=N35,14,IF(B18=N36,17,IF(B18=N37,24,IF(B18=N38,26,IF(B18=N39,26,0)))))))))))</f>
        <v>0</v>
      </c>
      <c r="C132" s="68">
        <f>IF(B18=N29,"4",IF(B18=N30,"6",IF(B18=N31,"4",IF(B18=N32,"8",IF(B18=N33,10,IF(B18=N34,14,IF(B18=N35,19,IF(B18=N36,22,IF(B18=N37,27,IF(B18=N38,30,IF(B18=N39,31,0)))))))))))</f>
        <v>0</v>
      </c>
      <c r="D132" s="68">
        <f>IF(B18=N29,"Max de répétitions",IF(B18=N30,"Max de répétitions",IF(B18=N31,"Max de répétitions et minimum 4",IF(B18=N32,"Max de répétitions et minimum 8",IF(B18=N33,"Max de répétitions et minimum 10",IF(B18=N34,"Max de répétitions et minimum 13",IF(B18=N35,"Max de répétitions et minimum 19",IF(B18=N36,"Max de répétitions et minimum 22",IF(B18=N37,"Max de répétitions et minimum 26",IF(B18=N38,"Max de répétitions et minimum 30",IF(B18=N39,"Max de répétitions et minimum 31",0)))))))))))</f>
        <v>0</v>
      </c>
      <c r="E132" s="112"/>
      <c r="F132" s="68" t="s">
        <v>131</v>
      </c>
      <c r="G132" s="68" t="s">
        <v>128</v>
      </c>
      <c r="H132" s="68"/>
    </row>
    <row r="133" spans="1:8" x14ac:dyDescent="0.25">
      <c r="A133" s="79" t="s">
        <v>157</v>
      </c>
      <c r="B133" s="68">
        <f>IF(B17=N29,"5",IF(B17=N30,"6",IF(B17=N31,"3",IF(B17=N32,"5",IF(B17=N33,7,IF(B17=N34,10,IF(B17=N35,14,IF(B17=N36,17,IF(B17=N37,24,IF(B17=N38,26,IF(B17=N39,26,0)))))))))))</f>
        <v>0</v>
      </c>
      <c r="C133" s="68">
        <f>IF(B17=N29,"4",IF(B17=N30,"6",IF(B17=N31,"4",IF(B17=N32,"8",IF(B17=N33,10,IF(B17=N34,14,IF(B17=N35,19,IF(B17=N36,22,IF(B17=N37,27,IF(B17=N38,30,IF(B17=N39,31,0)))))))))))</f>
        <v>0</v>
      </c>
      <c r="D133" s="68">
        <f>IF(B17=N29,"Max de répétitions",IF(B17=N30,"Max de répétitions",IF(B17=N31,"Max de répétitions et minimum 4",IF(B17=N32,"Max de répétitions et minimum 8",IF(B17=N33,"Max de répétitions et minimum 10",IF(B17=N34,"Max de répétitions et minimum 13",IF(B17=N35,"Max de répétitions et minimum 19",IF(B17=N36,"Max de répétitions et minimum 22",IF(B17=N37,"Max de répétitions et minimum 26",IF(B17=N38,"Max de répétitions et minimum 30",IF(B17=N39,"Max de répétitions et minimum 31",0)))))))))))</f>
        <v>0</v>
      </c>
      <c r="E133" s="112"/>
      <c r="F133" s="68" t="s">
        <v>131</v>
      </c>
      <c r="G133" s="68" t="s">
        <v>131</v>
      </c>
      <c r="H133" s="68"/>
    </row>
    <row r="134" spans="1:8" x14ac:dyDescent="0.25">
      <c r="A134" s="79" t="s">
        <v>327</v>
      </c>
      <c r="B134" s="68">
        <f>IF(B19=N29,"5",IF(B19=N30,"6",IF(B19=N31,"3",IF(B19=N32,"5",IF(B19=N33,7,IF(B19=N34,10,IF(B19=N35,14,IF(B19=N36,17,IF(B19=N37,24,IF(B19=N38,26,IF(B19=N39,26,0)))))))))))</f>
        <v>0</v>
      </c>
      <c r="C134" s="68">
        <f>IF(B19=N29,"4",IF(B19=N30,"6",IF(B19=N31,"4",IF(B19=N32,"8",IF(B19=N33,10,IF(B19=N34,14,IF(B19=N35,19,IF(B19=N36,22,IF(B19=N37,27,IF(B19=N38,30,IF(B19=N39,31,0)))))))))))</f>
        <v>0</v>
      </c>
      <c r="D134" s="68">
        <f>IF(B19=N29,"Max de répétitions",IF(B19=N30,"Max de répétitions",IF(B19=N31,"Max de répétitions et minimum 4",IF(B19=N32,"Max de répétitions et minimum 8",IF(B19=N33,"Max de répétitions et minimum 10",IF(B19=N34,"Max de répétitions et minimum 13",IF(B19=N35,"Max de répétitions et minimum 19",IF(B19=N36,"Max de répétitions et minimum 22",IF(B19=N37,"Max de répétitions et minimum 26",IF(B19=N38,"Max de répétitions et minimum 30",IF(B19=N39,"Max de répétitions et minimum 31",0)))))))))))</f>
        <v>0</v>
      </c>
      <c r="E134" s="112"/>
      <c r="F134" s="68" t="s">
        <v>131</v>
      </c>
      <c r="G134" s="112"/>
      <c r="H134" s="68"/>
    </row>
    <row r="135" spans="1:8" ht="15.75" thickBot="1" x14ac:dyDescent="0.3">
      <c r="A135" s="221" t="s">
        <v>290</v>
      </c>
      <c r="B135" s="222"/>
      <c r="C135" s="222"/>
      <c r="D135" s="222"/>
      <c r="E135" s="222"/>
      <c r="F135" s="222"/>
      <c r="G135" s="222"/>
      <c r="H135" s="222"/>
    </row>
    <row r="136" spans="1:8" x14ac:dyDescent="0.25">
      <c r="A136" s="72" t="s">
        <v>291</v>
      </c>
      <c r="B136" s="208" t="s">
        <v>324</v>
      </c>
      <c r="C136" s="209"/>
      <c r="D136" s="209"/>
      <c r="E136" s="209"/>
      <c r="F136" s="1"/>
      <c r="G136" s="1"/>
      <c r="H136" s="147" t="s">
        <v>325</v>
      </c>
    </row>
    <row r="137" spans="1:8" x14ac:dyDescent="0.25">
      <c r="A137" s="73" t="s">
        <v>2</v>
      </c>
      <c r="B137" s="74" t="s">
        <v>3</v>
      </c>
      <c r="C137" s="74" t="s">
        <v>4</v>
      </c>
      <c r="D137" s="74" t="s">
        <v>5</v>
      </c>
      <c r="E137" s="74" t="s">
        <v>6</v>
      </c>
      <c r="F137" s="74" t="s">
        <v>124</v>
      </c>
      <c r="G137" s="74" t="s">
        <v>125</v>
      </c>
      <c r="H137" s="74" t="s">
        <v>123</v>
      </c>
    </row>
    <row r="138" spans="1:8" x14ac:dyDescent="0.25">
      <c r="A138" s="79" t="s">
        <v>270</v>
      </c>
      <c r="B138" s="68">
        <f>IF(B21=N29,"5",IF(B21=N30,"6",IF(B21=N31,"3",IF(B21=N32,"5",IF(B21=N33,7,IF(B21=N34,10,IF(B21=N35,14,IF(B21=N36,17,IF(B21=N37,24,IF(B21=N38,26,IF(B21=N39,26,0)))))))))))</f>
        <v>0</v>
      </c>
      <c r="C138" s="68">
        <f>IF(B21=N29,"4",IF(B21=N30,"6",IF(B21=N31,"4",IF(B21=N32,"8",IF(B21=N33,10,IF(B21=N34,14,IF(B21=N35,19,IF(B21=N36,22,IF(B21=N37,27,IF(B21=N38,30,IF(B21=N39,31,0)))))))))))</f>
        <v>0</v>
      </c>
      <c r="D138" s="68">
        <f>IF(B21=N29,"4",IF(B21=N30,"4",IF(B21=N31,"3",IF(B21=N32,"5",IF(B21=N33,7,IF(B21=N34,10,IF(B21=N35,13,IF(B21=N36,17,IF(B21=N37,24,IF(B21=N38,25,IF(B21=N39,25,0)))))))))))</f>
        <v>0</v>
      </c>
      <c r="E138" s="68">
        <f>IF(B21=N29,"Max de répétitions",IF(B21=N30,"Max de répétitions",IF(B21=N31,"Max de répétitions et minimum 4",IF(B21=N32,"Max de répétitions et minimum 8",IF(B21=N33,"Max de répétitions et minimum 10",IF(B21=N34,"Max de répétitions et minimum 13",IF(B21=N35,"Max de répétitions et minimum 19",IF(B21=N36,"Max de répétitions et minimum 22",IF(B21=N37,"Max de répétitions et minimum 26",IF(B21=N38,"Max de répétitions et minimum 30",IF(B21=N39,"Max de répétitions et minimum 31",0)))))))))))</f>
        <v>0</v>
      </c>
      <c r="F138" s="68" t="s">
        <v>130</v>
      </c>
      <c r="G138" s="68" t="s">
        <v>127</v>
      </c>
      <c r="H138" s="68"/>
    </row>
    <row r="139" spans="1:8" x14ac:dyDescent="0.25">
      <c r="A139" s="79" t="s">
        <v>174</v>
      </c>
      <c r="B139" s="68">
        <f>IF(B23=N29,"5",IF(B23=N30,"6",IF(B23=N31,"3",IF(B23=N32,"5",IF(B23=N33,7,IF(B23=N34,10,IF(B23=N35,14,IF(B23=N36,17,IF(B23=N37,24,IF(B23=N38,26,IF(B23=N39,26,0)))))))))))</f>
        <v>0</v>
      </c>
      <c r="C139" s="68">
        <f>IF(B23=N29,"4",IF(B23=N30,"6",IF(B23=N31,"4",IF(B23=N32,"8",IF(B23=N33,10,IF(B23=N34,14,IF(B23=N35,19,IF(B23=N36,22,IF(B23=N37,27,IF(B23=N38,30,IF(B23=N39,31,0)))))))))))</f>
        <v>0</v>
      </c>
      <c r="D139" s="68">
        <f>IF(B23=N29,"4",IF(B23=N30,"4",IF(B23=N31,"3",IF(B23=N32,"5",IF(B23=N33,7,IF(B23=N34,10,IF(B23=N35,13,IF(B23=N36,17,IF(B23=N37,24,IF(B23=N38,25,IF(B23=N39,25,0)))))))))))</f>
        <v>0</v>
      </c>
      <c r="E139" s="68">
        <f>IF(B23=N29,"Max de répétitions",IF(B23=N30,"Max de répétitions",IF(B23=N31,"Max de répétitions et minimum 4",IF(B23=N32,"Max de répétitions et minimum 8",IF(B23=N33,"Max de répétitions et minimum 10",IF(B23=N34,"Max de répétitions et minimum 13",IF(B23=N35,"Max de répétitions et minimum 19",IF(B23=N36,"Max de répétitions et minimum 22",IF(B23=N37,"Max de répétitions et minimum 26",IF(B23=N38,"Max de répétitions et minimum 30",IF(B23=N39,"Max de répétitions et minimum 31",0)))))))))))</f>
        <v>0</v>
      </c>
      <c r="F139" s="68" t="s">
        <v>130</v>
      </c>
      <c r="G139" s="68" t="s">
        <v>128</v>
      </c>
      <c r="H139" s="76" t="s">
        <v>137</v>
      </c>
    </row>
    <row r="140" spans="1:8" x14ac:dyDescent="0.25">
      <c r="A140" s="79" t="s">
        <v>166</v>
      </c>
      <c r="B140" s="68">
        <f>IF(B22=N29,"5",IF(B22=N30,"6",IF(B22=N31,"3",IF(B22=N32,"5",IF(B22=N33,7,IF(B22=N34,10,IF(B22=N35,14,IF(B22=N36,17,IF(B22=N37,24,IF(B22=N38,26,IF(B22=N39,26,0)))))))))))</f>
        <v>0</v>
      </c>
      <c r="C140" s="68">
        <f>IF(B22=N29,"4",IF(B22=N30,"6",IF(B22=N31,"4",IF(B22=N32,"8",IF(B22=N33,10,IF(B22=N34,14,IF(B22=N35,19,IF(B22=N36,22,IF(B22=N37,27,IF(B22=N38,30,IF(B22=N39,31,0)))))))))))</f>
        <v>0</v>
      </c>
      <c r="D140" s="68">
        <f>IF(B22=N29,"Max de répétitions",IF(B22=N30,"Max de répétitions",IF(B22=N31,"Max de répétitions et minimum 4",IF(B22=N32,"Max de répétitions et minimum 8",IF(B22=N33,"Max de répétitions et minimum 10",IF(B22=N34,"Max de répétitions et minimum 13",IF(B22=N35,"Max de répétitions et minimum 19",IF(B22=N36,"Max de répétitions et minimum 22",IF(B22=N37,"Max de répétitions et minimum 26",IF(B22=N38,"Max de répétitions et minimum 30",IF(B22=N39,"Max de répétitions et minimum 31",0)))))))))))</f>
        <v>0</v>
      </c>
      <c r="E140" s="112"/>
      <c r="F140" s="68" t="s">
        <v>130</v>
      </c>
      <c r="G140" s="68" t="s">
        <v>128</v>
      </c>
      <c r="H140" s="68"/>
    </row>
    <row r="141" spans="1:8" x14ac:dyDescent="0.25">
      <c r="A141" s="79" t="s">
        <v>271</v>
      </c>
      <c r="B141" s="68">
        <f>IF(B24=N29,"5",IF(B24=N30,"6",IF(B24=N31,"3",IF(B24=N32,"5",IF(B24=N33,7,IF(B24=N34,10,IF(B24=N35,14,IF(B24=N36,17,IF(B24=N37,24,IF(B24=N38,26,IF(B24=N39,26,0)))))))))))</f>
        <v>0</v>
      </c>
      <c r="C141" s="68">
        <f>IF(B24=N29,"4",IF(B24=N30,"6",IF(B24=N31,"4",IF(B24=N32,"8",IF(B24=N33,10,IF(B24=N34,14,IF(B24=N35,19,IF(B24=N36,22,IF(B24=N37,27,IF(B24=N38,30,IF(B24=N39,31,0)))))))))))</f>
        <v>0</v>
      </c>
      <c r="D141" s="68">
        <f>IF(B24=N29,"Max de répétitions",IF(B24=N30,"Max de répétitions",IF(B24=N31,"Max de répétitions et minimum 4",IF(B24=N32,"Max de répétitions et minimum 8",IF(B24=N33,"Max de répétitions et minimum 10",IF(B24=N34,"Max de répétitions et minimum 13",IF(B24=N35,"Max de répétitions et minimum 19",IF(B24=N36,"Max de répétitions et minimum 22",IF(B24=N37,"Max de répétitions et minimum 26",IF(B24=N38,"Max de répétitions et minimum 30",IF(B24=N39,"Max de répétitions et minimum 31",0)))))))))))</f>
        <v>0</v>
      </c>
      <c r="E141" s="112"/>
      <c r="F141" s="68" t="s">
        <v>292</v>
      </c>
      <c r="G141" s="68" t="s">
        <v>292</v>
      </c>
      <c r="H141" s="68"/>
    </row>
    <row r="142" spans="1:8" x14ac:dyDescent="0.25">
      <c r="A142" s="79" t="s">
        <v>171</v>
      </c>
      <c r="B142" s="68">
        <f>IF(B25=M29,"5",IF(B25=M30,"9",IF(B25=M31,"12",IF(B25=M32,"18",IF(B25=M33,21,IF(B25=M34, "voir note",IF(B25=M35,"voir note",IF(B25=M36,"voir note",IF(B25=M37,"voir note",IF(B25=M38,"voir note",IF(B25=M39,"voir note",IF(B25=M40,"voir note",0))))))))))))</f>
        <v>0</v>
      </c>
      <c r="C142" s="68">
        <f>IF(B25=M29,"6",IF(B25=M30,"11",IF(B25=M31,"14",IF(B25=M32,"22",IF(B25=M33,25,IF(B25=M34,"voir note",IF(B25=M35,"voir note",IF(B25=M36,"voir note",IF(B25=M37,"voir note",IF(B25=M38,"voir note",IF(B25=M39,"voir note",IF(B25=M40,"voir note",0))))))))))))</f>
        <v>0</v>
      </c>
      <c r="D142" s="68">
        <f>IF(B25=M29,"Max de répétitions et minimum 6",IF(B25=M30,"Max de répétitions et minimum 11",IF(B25=M31,"Max de répétitions et minimum 15",IF(B25=M32,"Max de répétitions et minimum 21",IF(B25=M33,"Max de répétitions et minimum 27",IF(B25=M34,"voir note",IF(B25=M35,"voir note",IF(B25=M36,"voir note",IF(B25=M37,"voir note",IF(B25=M38,"voir note",IF(B25=M39,"voir note",IF(B25=M40,"voir note",0))))))))))))</f>
        <v>0</v>
      </c>
      <c r="E142" s="112"/>
      <c r="F142" s="68" t="s">
        <v>130</v>
      </c>
      <c r="G142" s="68" t="s">
        <v>293</v>
      </c>
      <c r="H142" s="116" t="str">
        <f>IF(B25&gt;M33,"Refaire le test : 1 x max et mettre à jour l'onglet résultat du test","")</f>
        <v/>
      </c>
    </row>
    <row r="143" spans="1:8" x14ac:dyDescent="0.25">
      <c r="A143" s="79" t="s">
        <v>161</v>
      </c>
      <c r="B143" s="68">
        <f>IF(B26=N29,"5",IF(B26=N30,"6",IF(B26=N31,"3",IF(B26=N32,"5",IF(B26=N33,7,IF(B26=N34,10,IF(B26=N35,14,IF(B26=N36,17,IF(B26=N37,24,IF(B26=N38,26,IF(B26=N39,26,0)))))))))))</f>
        <v>0</v>
      </c>
      <c r="C143" s="68">
        <f>IF(B26=N29,"4",IF(B26=N30,"6",IF(B26=N31,"4",IF(B26=N32,"8",IF(B26=N33,10,IF(B26=N34,14,IF(B26=N35,19,IF(B26=N36,22,IF(B26=N37,27,IF(B26=N38,30,IF(B26=N39,31,0)))))))))))</f>
        <v>0</v>
      </c>
      <c r="D143" s="68">
        <f>IF(B26=N29,"Max de répétitions",IF(B26=N30,"Max de répétitions",IF(B26=N31,"Max de répétitions et minimum 4",IF(B26=N32,"Max de répétitions et minimum 8",IF(B26=N33,"Max de répétitions et minimum 10",IF(B26=N34,"Max de répétitions et minimum 13",IF(B26=N35,"Max de répétitions et minimum 19",IF(B26=N36,"Max de répétitions et minimum 22",IF(B26=N37,"Max de répétitions et minimum 26",IF(B26=N38,"Max de répétitions et minimum 30",IF(B26=N39,"Max de répétitions et minimum 31",0)))))))))))</f>
        <v>0</v>
      </c>
      <c r="E143" s="112"/>
      <c r="F143" s="68" t="s">
        <v>131</v>
      </c>
      <c r="G143" s="112"/>
      <c r="H143" s="68"/>
    </row>
    <row r="144" spans="1:8" x14ac:dyDescent="0.25">
      <c r="A144" s="214" t="s">
        <v>139</v>
      </c>
      <c r="B144" s="215"/>
      <c r="C144" s="215"/>
      <c r="D144" s="215"/>
      <c r="E144" s="215"/>
      <c r="F144" s="215"/>
      <c r="G144" s="215"/>
      <c r="H144" s="215"/>
    </row>
    <row r="145" spans="1:8" x14ac:dyDescent="0.25">
      <c r="A145" s="214" t="s">
        <v>140</v>
      </c>
      <c r="B145" s="215"/>
      <c r="C145" s="215"/>
      <c r="D145" s="215"/>
      <c r="E145" s="215"/>
      <c r="F145" s="215"/>
      <c r="G145" s="215"/>
      <c r="H145" s="215"/>
    </row>
    <row r="146" spans="1:8" x14ac:dyDescent="0.25">
      <c r="A146" s="77"/>
      <c r="B146" s="77"/>
      <c r="C146" s="77"/>
      <c r="D146" s="77"/>
      <c r="E146" s="77"/>
      <c r="F146" s="77"/>
      <c r="G146" s="77"/>
      <c r="H146" s="77"/>
    </row>
    <row r="147" spans="1:8" ht="15.75" thickBot="1" x14ac:dyDescent="0.3">
      <c r="A147" s="213" t="s">
        <v>295</v>
      </c>
      <c r="B147" s="213"/>
      <c r="C147" s="213"/>
      <c r="D147" s="213"/>
      <c r="E147" s="213"/>
      <c r="F147" s="213"/>
      <c r="G147" s="213"/>
      <c r="H147" s="213"/>
    </row>
    <row r="148" spans="1:8" x14ac:dyDescent="0.25">
      <c r="A148" s="72" t="s">
        <v>272</v>
      </c>
      <c r="B148" s="208" t="s">
        <v>324</v>
      </c>
      <c r="C148" s="209"/>
      <c r="D148" s="209"/>
      <c r="E148" s="209"/>
      <c r="F148" s="1"/>
      <c r="G148" s="1"/>
      <c r="H148" s="147" t="s">
        <v>325</v>
      </c>
    </row>
    <row r="149" spans="1:8" x14ac:dyDescent="0.25">
      <c r="A149" s="73" t="s">
        <v>2</v>
      </c>
      <c r="B149" s="74" t="s">
        <v>3</v>
      </c>
      <c r="C149" s="74" t="s">
        <v>4</v>
      </c>
      <c r="D149" s="74" t="s">
        <v>5</v>
      </c>
      <c r="E149" s="74" t="s">
        <v>6</v>
      </c>
      <c r="F149" s="74" t="s">
        <v>124</v>
      </c>
      <c r="G149" s="74" t="s">
        <v>125</v>
      </c>
      <c r="H149" s="74" t="s">
        <v>123</v>
      </c>
    </row>
    <row r="150" spans="1:8" x14ac:dyDescent="0.25">
      <c r="A150" s="86" t="s">
        <v>147</v>
      </c>
      <c r="B150" s="68">
        <f>IF(B8=M29,"5",IF(B8=M30,"10",IF(B8=M31,"13",IF(B8=M32,"20",IF(B8=M33,25,IF(B8=M34,17,IF(B8=M35,22,IF(B8=M36,27,IF(B8=M37,30,IF(B8=M38,30,IF(B8=M39,30,IF(B8=M40,35,0))))))))))))</f>
        <v>0</v>
      </c>
      <c r="C150" s="68">
        <f>IF(B8=M29,"6",IF(B8=M30,"12",IF(B8=M31,"15",IF(B8=M32,"25",IF(B8=M33,29,IF(B8=M34,19,IF(B8=M35,24,IF(B8=M36,29,IF(B8=M37,34,IF(B8=M38,39,IF(B8=M39,44,IF(B8=M40,49,0))))))))))))</f>
        <v>0</v>
      </c>
      <c r="D150" s="68">
        <f>IF(B8=M29,"4",IF(B8=M30,"9",IF(B8=M31,"11",IF(B8=M32,"20",IF(B8=M33,25,IF(B8=M34,15,IF(B8=M35,20,IF(B8=M36,25,IF(B8=M37,30,IF(B8=M38,35,IF(B8=M39,40,IF(B8=M40,45,0))))))))))))</f>
        <v>0</v>
      </c>
      <c r="E150" s="68">
        <f>IF(B8=M29,"Max de répétitions et minimum 7",IF(B8=M30,"Max de répétitions et minimum 13",IF(B8=M31,"Max de répétitions et minimum 17",IF(B8=M32,"Max de répétitions et minimum 23",IF(B8=M33,"Max de répétitions et minimum 30",IF(B8=M34,"Max de répétitions et minimum 20",IF(B8=M35,"Max de répétitions et minimum 25",IF(B8=M36,"Max de répétitions et minimum 35",IF(B8=M37,"Max de répétitions et minimum 40",IF(B8=M38,"Max de répétitions et minimum 42",IF(B8=M39,"Max de répétitions et minimum 55",IF(B8=M40,"Max de répétitions et minimum 55",0))))))))))))</f>
        <v>0</v>
      </c>
      <c r="F150" s="68" t="s">
        <v>127</v>
      </c>
      <c r="G150" s="68" t="s">
        <v>128</v>
      </c>
      <c r="H150" s="76"/>
    </row>
    <row r="151" spans="1:8" x14ac:dyDescent="0.25">
      <c r="A151" s="86" t="s">
        <v>252</v>
      </c>
      <c r="B151" s="68">
        <f>IF(B10=M29,"5",IF(B10=M30,"10",IF(B10=M31,"13",IF(B10=M32,"20",IF(B10=M33,25,IF(B10=M34,17,IF(B10=M35,22,IF(B10=M36,27,IF(B10=M37,30,IF(B10=M38,30,IF(B10=M39,30,IF(B10=M40,35,0))))))))))))</f>
        <v>0</v>
      </c>
      <c r="C151" s="68">
        <f>IF(B10=M29,"6",IF(B10=M30,"12",IF(B10=M31,"15",IF(B10=M32,"25",IF(B10=M33,29,IF(B10=M34,19,IF(B10=M35,24,IF(B10=M36,29,IF(B10=M37,34,IF(B10=M38,39,IF(B10=M39,44,IF(B10=M40,49,0))))))))))))</f>
        <v>0</v>
      </c>
      <c r="D151" s="68">
        <f>IF(B10=M29,"4",IF(B10=M30,"9",IF(B10=M31,"11",IF(B10=M32,"20",IF(B10=M33,25,IF(B10=M34,15,IF(B10=M35,20,IF(B10=M36,25,IF(B10=M37,30,IF(B10=M38,35,IF(B10=M39,40,IF(B10=M40,45,0))))))))))))</f>
        <v>0</v>
      </c>
      <c r="E151" s="68">
        <f>IF(B10=M29,"Max de répétitions et minimum 7",IF(B10=M30,"Max de répétitions et minimum 13",IF(B10=M31,"Max de répétitions et minimum 17",IF(B10=M32,"Max de répétitions et minimum 23",IF(B10=M33,"Max de répétitions et minimum 30",IF(B10=M34,"Max de répétitions et minimum 20",IF(B10=M35,"Max de répétitions et minimum 25",IF(B10=M36,"Max de répétitions et minimum 35",IF(B10=M37,"Max de répétitions et minimum 40",IF(B10=M38,"Max de répétitions et minimum 42",IF(B10=M39,"Max de répétitions et minimum 55",IF(B10=M40,"Max de répétitions et minimum 55",0))))))))))))</f>
        <v>0</v>
      </c>
      <c r="F151" s="68" t="s">
        <v>131</v>
      </c>
      <c r="G151" s="68" t="s">
        <v>127</v>
      </c>
      <c r="H151" s="76"/>
    </row>
    <row r="152" spans="1:8" x14ac:dyDescent="0.25">
      <c r="A152" s="79" t="s">
        <v>148</v>
      </c>
      <c r="B152" s="68">
        <f>IF(B9=N29,"5",IF(B9=N30,"7",IF(B9=N31,"3",IF(B9=N32,"6",IF(B9=N33,8,IF(B9=N34,11,IF(B9=N35,14,IF(B9=N36,18,IF(B9=N37,25,IF(B9=N38,26,IF(B9=N39,26,0)))))))))))</f>
        <v>0</v>
      </c>
      <c r="C152" s="68">
        <f>IF(B9=N29,"10",IF(B9=N30,"12",IF(B9=N31,"4",IF(B9=N32,"9",IF(B9=N33,11,IF(B9=N34,15,IF(B9=N35,20,IF(B9=N36,25,IF(B9=N37,29,IF(B9=N38,31,IF(B9=N39,32,0)))))))))))</f>
        <v>0</v>
      </c>
      <c r="D152" s="68">
        <f>IF(B9=N29,"8",IF(B9=N30,"10",IF(B9=N31,"Max de répétitions et minimum 5",IF(B9=N32,"Max de répétitions et minimum 8",IF(B9=N33,"Max de répétitions et minimum 10",IF(B9=N34,"Max de répétitions et minimum 13",IF(B9=N35,"Max de répétitions et minimum 20",IF(B9=N36,"Max de répétitions et minimum 22",IF(B9=N37,"Max de répétitions et minimum 27",IF(B9=N38,"Max de répétitions et minimum 31",IF(B9=N39,"Max de répétitions et minimum 31",0)))))))))))</f>
        <v>0</v>
      </c>
      <c r="E152" s="115"/>
      <c r="F152" s="68" t="s">
        <v>127</v>
      </c>
      <c r="G152" s="68" t="s">
        <v>128</v>
      </c>
      <c r="H152" s="114" t="str">
        <f>IF(OR(B9=N29,B9=N30),"Toutes les répétitions en excentrique : voir vidéo","")</f>
        <v/>
      </c>
    </row>
    <row r="153" spans="1:8" x14ac:dyDescent="0.25">
      <c r="A153" s="86" t="s">
        <v>273</v>
      </c>
      <c r="B153" s="68">
        <f>IF(B11=N29,"5",IF(B11=N30,"7",IF(B11=N31,"3",IF(B11=N32,"6",IF(B11=N33,8,IF(B11=N34,11,IF(B11=N35,14,IF(B11=N36,18,IF(B11=N37,25,IF(B11=N38,26,IF(B11=N39,26,0)))))))))))</f>
        <v>0</v>
      </c>
      <c r="C153" s="68">
        <f>IF(B11=N29,"5",IF(B11=N30,"6",IF(B11=N31,"4",IF(B11=N32,"9",IF(B11=N33,11,IF(B11=N34,15,IF(B11=N35,20,IF(B11=N36,25,IF(B11=N37,29,IF(B11=N38,31,IF(B11=N39,32,0)))))))))))</f>
        <v>0</v>
      </c>
      <c r="D153" s="68">
        <f>IF(B11=N29,"Max de répétitions",IF(B11=N30,"Max de répétitions",IF(B11=N31,"Max de répétitions et minimum 5",IF(B11=N32,"Max de répétitions et minimum 8",IF(B11=N33,"Max de répétitions et minimum 10",IF(B11=N34,"Max de répétitions et minimum 13",IF(B11=N35,"Max de répétitions et minimum 20",IF(B11=N36,"Max de répétitions et minimum 22",IF(B11=N37,"Max de répétitions et minimum 27",IF(B11=N38,"Max de répétitions et minimum 31",IF(B11=N39,"Max de répétitions et minimum 31",0)))))))))))</f>
        <v>0</v>
      </c>
      <c r="E153" s="115"/>
      <c r="F153" s="68" t="s">
        <v>131</v>
      </c>
      <c r="G153" s="68" t="s">
        <v>127</v>
      </c>
      <c r="H153" s="76"/>
    </row>
    <row r="154" spans="1:8" x14ac:dyDescent="0.25">
      <c r="A154" s="79" t="s">
        <v>274</v>
      </c>
      <c r="B154" s="68">
        <f>IF(B12=N29,"5",IF(B12=N30,"7",IF(B12=N31,"3",IF(B12=N32,"6",IF(B12=N33,8,IF(B12=N34,11,IF(B12=N35,14,IF(B12=N36,18,IF(B12=N37,25,IF(B12=N38,26,IF(B12=N39,26,0)))))))))))</f>
        <v>0</v>
      </c>
      <c r="C154" s="68">
        <f>IF(B12=N29,"5",IF(B12=N30,"6",IF(B12=N31,"4",IF(B12=N32,"9",IF(B12=N33,11,IF(B12=N34,15,IF(B12=N35,20,IF(B12=N36,25,IF(B12=N37,29,IF(B12=N38,31,IF(B12=N39,32,0)))))))))))</f>
        <v>0</v>
      </c>
      <c r="D154" s="68">
        <f>IF(B12=N29,"Max de répétitions",IF(B12=N30,"Max de répétitions",IF(B12=N31,"Max de répétitions et minimum 5",IF(B12=N32,"Max de répétitions et minimum 8",IF(B12=N33,"Max de répétitions et minimum 10",IF(B12=N34,"Max de répétitions et minimum 13",IF(B12=N35,"Max de répétitions et minimum 20",IF(B12=N36,"Max de répétitions et minimum 22",IF(B12=N37,"Max de répétitions et minimum 27",IF(B12=N38,"Max de répétitions et minimum 31",IF(B12=N39,"Max de répétitions et minimum 31",0)))))))))))</f>
        <v>0</v>
      </c>
      <c r="E154" s="115"/>
      <c r="F154" s="68" t="s">
        <v>131</v>
      </c>
      <c r="G154" s="68" t="s">
        <v>127</v>
      </c>
      <c r="H154" s="76"/>
    </row>
    <row r="155" spans="1:8" x14ac:dyDescent="0.25">
      <c r="A155" s="79" t="s">
        <v>282</v>
      </c>
      <c r="B155" s="68">
        <f>IF(B13=N29,"5",IF(B13=N30,"7",IF(B13=N31,"3",IF(B13=N32,"6",IF(B13=N33,8,IF(B13=N34,11,IF(B13=N35,14,IF(B13=N36,18,IF(B13=N37,25,IF(B13=N38,26,IF(B13=N39,26,0)))))))))))</f>
        <v>0</v>
      </c>
      <c r="C155" s="68">
        <f>IF(B13=N29,"5",IF(B13=N30,"6",IF(B13=N31,"4",IF(B13=N32,"9",IF(B13=N33,11,IF(B13=N34,15,IF(B13=N35,20,IF(B13=N36,25,IF(B13=N37,29,IF(B13=N38,31,IF(B13=N39,32,0)))))))))))</f>
        <v>0</v>
      </c>
      <c r="D155" s="68">
        <f>IF(B13=N29,"Max de répétitions",IF(B13=N30,"Max de répétitions",IF(B13=N31,"Max de répétitions et minimum 5",IF(B13=N32,"Max de répétitions et minimum 8",IF(B13=N33,"Max de répétitions et minimum 10",IF(B13=N34,"Max de répétitions et minimum 13",IF(B13=N35,"Max de répétitions et minimum 20",IF(B13=N36,"Max de répétitions et minimum 22",IF(B13=N37,"Max de répétitions et minimum 27",IF(B13=N38,"Max de répétitions et minimum 31",IF(B13=N39,"Max de répétitions et minimum 31",0)))))))))))</f>
        <v>0</v>
      </c>
      <c r="E155" s="115"/>
      <c r="F155" s="68" t="s">
        <v>131</v>
      </c>
      <c r="G155" s="112"/>
      <c r="H155" s="76"/>
    </row>
    <row r="156" spans="1:8" ht="15.75" thickBot="1" x14ac:dyDescent="0.3">
      <c r="A156" s="214" t="s">
        <v>289</v>
      </c>
      <c r="B156" s="215"/>
      <c r="C156" s="215"/>
      <c r="D156" s="215"/>
      <c r="E156" s="215"/>
      <c r="F156" s="215"/>
      <c r="G156" s="215"/>
      <c r="H156" s="215"/>
    </row>
    <row r="157" spans="1:8" x14ac:dyDescent="0.25">
      <c r="A157" s="111" t="s">
        <v>286</v>
      </c>
      <c r="B157" s="74" t="s">
        <v>3</v>
      </c>
      <c r="C157" s="74" t="s">
        <v>4</v>
      </c>
      <c r="D157" s="74" t="s">
        <v>5</v>
      </c>
      <c r="E157" s="74" t="s">
        <v>6</v>
      </c>
      <c r="F157" s="74" t="s">
        <v>124</v>
      </c>
      <c r="G157" s="74" t="s">
        <v>125</v>
      </c>
      <c r="H157" s="74" t="s">
        <v>123</v>
      </c>
    </row>
    <row r="158" spans="1:8" x14ac:dyDescent="0.25">
      <c r="A158" s="105" t="s">
        <v>328</v>
      </c>
      <c r="B158" s="68">
        <f>IF(B15=N29,"5",IF(B15=N30,"7",IF(B15=N31,"3",IF(B15=N32,"6",IF(B15=N33,8,IF(B15=N34,11,IF(B15=N35,14,IF(B15=N36,18,IF(B15=N37,25,IF(B15=N38,26,IF(B15=N39,26,0)))))))))))</f>
        <v>0</v>
      </c>
      <c r="C158" s="68">
        <f>IF(B15=N29,"5",IF(B15=N30,"6",IF(B15=N31,"4",IF(B15=N32,"9",IF(B15=N33,11,IF(B15=N34,15,IF(B15=N35,20,IF(B15=N36,25,IF(B15=N37,29,IF(B15=N38,31,IF(B15=N39,32,0)))))))))))</f>
        <v>0</v>
      </c>
      <c r="D158" s="68">
        <f>IF(B15=N29,"4",IF(B15=N30,"5",IF(B15=N31,"3",IF(B15=N32,"6",IF(B15=N33,8,IF(B15=N34,11,IF(B15=N35,14,IF(B15=N36,18,IF(B15=N37,25,IF(B15=N38,26,IF(B15=N39,26,0)))))))))))</f>
        <v>0</v>
      </c>
      <c r="E158" s="68">
        <f>IF(B15=N29,"Max de répétitions",IF(B15=N30,"Max de répétitions",IF(B15=N31,"Max de répétitions et minimum 5",IF(B15=N32,"Max de répétitions et minimum 8",IF(B15=N33,"Max de répétitions et minimum 10",IF(B15=N34,"Max de répétitions et minimum 13",IF(B15=N35,"Max de répétitions et minimum 20",IF(B15=N36,"Max de répétitions et minimum 22",IF(B15=N37,"Max de répétitions et minimum 27",IF(B15=N38,"Max de répétitions et minimum 31",IF(B15=N39,"Max de répétitions et minimum 31",0)))))))))))</f>
        <v>0</v>
      </c>
      <c r="F158" s="68" t="s">
        <v>131</v>
      </c>
      <c r="G158" s="68" t="s">
        <v>131</v>
      </c>
      <c r="H158" s="76"/>
    </row>
    <row r="159" spans="1:8" x14ac:dyDescent="0.25">
      <c r="A159" s="105" t="s">
        <v>277</v>
      </c>
      <c r="B159" s="68">
        <f>IF(B18=N29,"4",IF(B18=N30,"5",IF(B18=N31,"3",IF(B18=N32,"6",IF(B18=N33,8,IF(B18=N34,11,IF(B18=N35,14,IF(B18=N36,18,IF(B18=N37,25,IF(B18=N38,26,IF(B18=N39,26,0)))))))))))</f>
        <v>0</v>
      </c>
      <c r="C159" s="68">
        <f>IF(B18=N29,"5",IF(B18=N30,"6",IF(B18=N31,"4",IF(B18=N32,"9",IF(B18=N33,11,IF(B18=N34,15,IF(B18=N35,20,IF(B18=N36,25,IF(B18=N37,29,IF(B18=N38,31,IF(B18=N39,32,0)))))))))))</f>
        <v>0</v>
      </c>
      <c r="D159" s="68">
        <f>IF(B18=N29,"4",IF(B18=N30,"5",IF(B18=N31,"3",IF(B18=N32,"6",IF(B18=N33,8,IF(B18=N34,11,IF(B18=N35,14,IF(B18=N36,18,IF(B18=N37,25,IF(B18=N38,26,IF(B18=N39,26,0)))))))))))</f>
        <v>0</v>
      </c>
      <c r="E159" s="68">
        <f>IF(B18=N29,"Max de répétitions",IF(B18=N30,"Max de répétitions",IF(B18=N31,"Max de répétitions et minimum 5",IF(B18=N32,"Max de répétitions et minimum 8",IF(B18=N33,"Max de répétitions et minimum 10",IF(B18=N34,"Max de répétitions et minimum 13",IF(B18=N35,"Max de répétitions et minimum 20",IF(B18=N36,"Max de répétitions et minimum 22",IF(B18=N37,"Max de répétitions et minimum 27",IF(B18=N38,"Max de répétitions et minimum 31",IF(B18=N39,"Max de répétitions et minimum 31",0)))))))))))</f>
        <v>0</v>
      </c>
      <c r="F159" s="68" t="s">
        <v>131</v>
      </c>
      <c r="G159" s="68" t="s">
        <v>128</v>
      </c>
      <c r="H159" s="76"/>
    </row>
    <row r="160" spans="1:8" x14ac:dyDescent="0.25">
      <c r="A160" s="105" t="s">
        <v>155</v>
      </c>
      <c r="B160" s="68">
        <f>IF(B16=N29,"5",IF(B16=N30,"7",IF(B16=N31,"3",IF(B16=N32,"6",IF(B16=N33,8,IF(B16=N34,11,IF(B16=N35,14,IF(B16=N36,18,IF(B16=N37,25,IF(B16=N38,26,IF(B16=N39,26,0)))))))))))</f>
        <v>0</v>
      </c>
      <c r="C160" s="68">
        <f>IF(B16=N29,"10",IF(B16=N30,"12",IF(B16=N31,"4",IF(B16=N32,"9",IF(B16=N33,11,IF(B16=N34,15,IF(B16=N35,20,IF(B16=N36,25,IF(B16=N37,29,IF(B16=N38,31,IF(B16=N39,32,0)))))))))))</f>
        <v>0</v>
      </c>
      <c r="D160" s="68">
        <f>IF(B16=N29,"8",IF(B16=N30,"10",IF(B16=N31,"Max de répétitions et minimum 5",IF(B16=N32,"Max de répétitions et minimum 8",IF(B16=N33,"Max de répétitions et minimum 10",IF(B16=N34,"Max de répétitions et minimum 13",IF(B16=N35,"Max de répétitions et minimum 20",IF(B16=N36,"Max de répétitions et minimum 22",IF(B16=N37,"Max de répétitions et minimum 27",IF(B16=N38,"Max de répétitions et minimum 31",IF(B16=N39,"Max de répétitions et minimum 31",0)))))))))))</f>
        <v>0</v>
      </c>
      <c r="E160" s="112"/>
      <c r="F160" s="68" t="s">
        <v>128</v>
      </c>
      <c r="G160" s="68" t="s">
        <v>127</v>
      </c>
      <c r="H160" s="76" t="str">
        <f>IF(OR(B16=N29,B16=N30),"Toutes les répétitions en excentrique","")</f>
        <v/>
      </c>
    </row>
    <row r="161" spans="1:8" x14ac:dyDescent="0.25">
      <c r="A161" s="105" t="s">
        <v>157</v>
      </c>
      <c r="B161" s="68">
        <f>IF(B17=N29,"5",IF(B17=N30,"7",IF(B17=N31,"3",IF(B17=N32,"6",IF(B17=N33,8,IF(B17=N34,11,IF(B17=N35,14,IF(B17=N36,18,IF(B17=N37,25,IF(B17=N38,26,IF(B17=N39,26,0)))))))))))</f>
        <v>0</v>
      </c>
      <c r="C161" s="68">
        <f>IF(B17=N29,"5",IF(B17=N30,"6",IF(B17=N31,"4",IF(B17=N32,"9",IF(B17=N33,11,IF(B17=N34,15,IF(B17=N35,20,IF(B17=N36,25,IF(B17=N37,29,IF(B17=N38,31,IF(B17=N39,32,0)))))))))))</f>
        <v>0</v>
      </c>
      <c r="D161" s="68">
        <f>IF(B17=N29,"Max de répétitions",IF(B17=N30,"Max de répétitions",IF(B17=N31,"Max de répétitions et minimum 5",IF(B17=N32,"Max de répétitions et minimum 8",IF(B17=N33,"Max de répétitions et minimum 10",IF(B17=N34,"Max de répétitions et minimum 13",IF(B17=N35,"Max de répétitions et minimum 20",IF(B17=N36,"Max de répétitions et minimum 22",IF(B17=N37,"Max de répétitions et minimum 27",IF(B17=N38,"Max de répétitions et minimum 31",IF(B17=N39,"Max de répétitions et minimum 31",0)))))))))))</f>
        <v>0</v>
      </c>
      <c r="E161" s="112"/>
      <c r="F161" s="68" t="s">
        <v>131</v>
      </c>
      <c r="G161" s="68" t="s">
        <v>127</v>
      </c>
      <c r="H161" s="76"/>
    </row>
    <row r="162" spans="1:8" x14ac:dyDescent="0.25">
      <c r="A162" s="105" t="s">
        <v>327</v>
      </c>
      <c r="B162" s="68">
        <f>IF(B19=N29,"5",IF(B19=N30,"7",IF(B19=N31,"3",IF(B19=N32,"6",IF(B19=N33,8,IF(B19=N34,11,IF(B19=N35,14,IF(B19=N36,18,IF(B19=N37,25,IF(B19=N38,26,IF(B19=N39,26,0)))))))))))</f>
        <v>0</v>
      </c>
      <c r="C162" s="68">
        <f>IF(B19=N29,"5",IF(B19=N30,"6",IF(B19=N31,"4",IF(B19=N32,"9",IF(B19=N33,11,IF(B19=N34,15,IF(B19=N35,20,IF(B19=N36,25,IF(B19=N37,29,IF(B19=N38,31,IF(B19=N39,32,0)))))))))))</f>
        <v>0</v>
      </c>
      <c r="D162" s="68">
        <f>IF(B19=N29,"Max de répétitions",IF(B19=N30,"Max de répétitions",IF(B19=N31,"Max de répétitions et minimum 5",IF(B19=N32,"Max de répétitions et minimum 8",IF(B19=N33,"Max de répétitions et minimum 10",IF(B19=N34,"Max de répétitions et minimum 13",IF(B19=N35,"Max de répétitions et minimum 20",IF(B19=N36,"Max de répétitions et minimum 22",IF(B19=N37,"Max de répétitions et minimum 27",IF(B19=N38,"Max de répétitions et minimum 31",IF(B19=N39,"Max de répétitions et minimum 31",0)))))))))))</f>
        <v>0</v>
      </c>
      <c r="E162" s="112"/>
      <c r="F162" s="68" t="s">
        <v>131</v>
      </c>
      <c r="G162" s="112"/>
      <c r="H162" s="76"/>
    </row>
    <row r="163" spans="1:8" ht="15.75" thickBot="1" x14ac:dyDescent="0.3">
      <c r="A163" s="221" t="s">
        <v>290</v>
      </c>
      <c r="B163" s="222"/>
      <c r="C163" s="222"/>
      <c r="D163" s="222"/>
      <c r="E163" s="222"/>
      <c r="F163" s="222"/>
      <c r="G163" s="222"/>
      <c r="H163" s="222"/>
    </row>
    <row r="164" spans="1:8" x14ac:dyDescent="0.25">
      <c r="A164" s="72" t="s">
        <v>291</v>
      </c>
      <c r="B164" s="208" t="s">
        <v>324</v>
      </c>
      <c r="C164" s="209"/>
      <c r="D164" s="209"/>
      <c r="E164" s="209"/>
      <c r="F164" s="1"/>
      <c r="G164" s="1"/>
      <c r="H164" s="147" t="s">
        <v>325</v>
      </c>
    </row>
    <row r="165" spans="1:8" ht="15.75" thickBot="1" x14ac:dyDescent="0.3">
      <c r="A165" s="73" t="s">
        <v>2</v>
      </c>
      <c r="B165" s="74" t="s">
        <v>3</v>
      </c>
      <c r="C165" s="74" t="s">
        <v>4</v>
      </c>
      <c r="D165" s="74" t="s">
        <v>5</v>
      </c>
      <c r="E165" s="74" t="s">
        <v>6</v>
      </c>
      <c r="F165" s="74" t="s">
        <v>124</v>
      </c>
      <c r="G165" s="74" t="s">
        <v>125</v>
      </c>
      <c r="H165" s="74" t="s">
        <v>123</v>
      </c>
    </row>
    <row r="166" spans="1:8" ht="15.75" thickBot="1" x14ac:dyDescent="0.3">
      <c r="A166" s="104" t="s">
        <v>166</v>
      </c>
      <c r="B166" s="68">
        <f>IF(B22=N29,"5",IF(B22=N30,"7",IF(B22=N31,"3",IF(B22=N32,"6",IF(B22=N33,8,IF(B22=N34,11,IF(B22=N35,14,IF(B22=N36,18,IF(B22=N37,25,IF(B22=N38,26,IF(B22=N39,26,0)))))))))))</f>
        <v>0</v>
      </c>
      <c r="C166" s="68">
        <f>IF(B22=N29,"5",IF(B22=N30,"6",IF(B22=N31,"4",IF(B22=N32,"9",IF(B22=N33,11,IF(B22=N34,15,IF(B22=N35,20,IF(B22=N36,25,IF(B22=N37,29,IF(B22=N38,31,IF(B22=N39,32,0)))))))))))</f>
        <v>0</v>
      </c>
      <c r="D166" s="68">
        <f>IF(B22=N29,"4",IF(B22=N30,"5",IF(B22=N31,"3",IF(B22=N32,"6",IF(B22=N33,8,IF(B22=N34,11,IF(B22=N35,14,IF(B22=N36,18,IF(B22=N37,25,IF(B22=N38,26,IF(B22=N39,26,0)))))))))))</f>
        <v>0</v>
      </c>
      <c r="E166" s="68">
        <f>IF(B22=N29,"Max de répétitions",IF(B22=N30,"Max de répétitions",IF(B22=N31,"Max de répétitions et minimum 5",IF(B22=N32,"Max de répétitions et minimum 8",IF(B22=N33,"Max de répétitions et minimum 10",IF(B22=N34,"Max de répétitions et minimum 13",IF(B22=N35,"Max de répétitions et minimum 20",IF(B22=N36,"Max de répétitions et minimum 22",IF(B22=N37,"Max de répétitions et minimum 27",IF(B22=N38,"Max de répétitions et minimum 31",IF(B22=N39,"Max de répétitions et minimum 31",0)))))))))))</f>
        <v>0</v>
      </c>
      <c r="F166" s="68" t="s">
        <v>130</v>
      </c>
      <c r="G166" s="68" t="s">
        <v>128</v>
      </c>
      <c r="H166" s="68"/>
    </row>
    <row r="167" spans="1:8" x14ac:dyDescent="0.25">
      <c r="A167" s="105" t="s">
        <v>174</v>
      </c>
      <c r="B167" s="68">
        <f>IF(B23=N29,"5",IF(B23=N30,"7",IF(B23=N31,"3",IF(B23=N32,"6",IF(B23=N33,8,IF(B23=N34,11,IF(B23=N35,14,IF(B23=N36,18,IF(B23=N37,25,IF(B23=N38,26,IF(B23=N39,26,0)))))))))))</f>
        <v>0</v>
      </c>
      <c r="C167" s="68">
        <f>IF(B23=N29,"5",IF(B23=N30,"6",IF(B23=N31,"4",IF(B23=N32,"9",IF(B23=N33,11,IF(B23=N34,15,IF(B23=N35,20,IF(B23=N36,25,IF(B23=N37,29,IF(B23=N38,31,IF(B23=N39,32,0)))))))))))</f>
        <v>0</v>
      </c>
      <c r="D167" s="68">
        <f>IF(B23=N29,"4",IF(B23=N30,"5",IF(B23=N31,"3",IF(B23=N32,"6",IF(B23=N33,8,IF(B23=N34,11,IF(B23=N35,14,IF(B23=N36,18,IF(B23=N37,25,IF(B23=N38,26,IF(B23=N39,26,0)))))))))))</f>
        <v>0</v>
      </c>
      <c r="E167" s="68">
        <f>IF(B23=N29,"Max de répétitions",IF(B23=N30,"Max de répétitions",IF(B23=N31,"Max de répétitions et minimum 5",IF(B23=N32,"Max de répétitions et minimum 8",IF(B23=N33,"Max de répétitions et minimum 10",IF(B23=N34,"Max de répétitions et minimum 13",IF(B23=N35,"Max de répétitions et minimum 20",IF(B23=N36,"Max de répétitions et minimum 22",IF(B23=N37,"Max de répétitions et minimum 27",IF(B23=N38,"Max de répétitions et minimum 31",IF(B23=N39,"Max de répétitions et minimum 31",0)))))))))))</f>
        <v>0</v>
      </c>
      <c r="F167" s="68" t="s">
        <v>130</v>
      </c>
      <c r="G167" s="68" t="s">
        <v>128</v>
      </c>
      <c r="H167" s="76" t="s">
        <v>137</v>
      </c>
    </row>
    <row r="168" spans="1:8" x14ac:dyDescent="0.25">
      <c r="A168" s="105" t="s">
        <v>270</v>
      </c>
      <c r="B168" s="68">
        <f>IF(B21=N29,"5",IF(B21=N30,"7",IF(B21=N31,"3",IF(B21=N32,"6",IF(B21=N33,8,IF(B21=N34,11,IF(B21=N35,14,IF(B21=N36,18,IF(B21=N37,25,IF(B21=N38,26,IF(B21=N39,26,0)))))))))))</f>
        <v>0</v>
      </c>
      <c r="C168" s="68">
        <f>IF(B21=N29,"5",IF(B21=N30,"6",IF(B21=N31,"4",IF(B21=N32,"9",IF(B21=N33,11,IF(B21=N34,15,IF(B21=N35,20,IF(B21=N36,25,IF(B21=N37,29,IF(B21=N38,31,IF(B21=N39,32,0)))))))))))</f>
        <v>0</v>
      </c>
      <c r="D168" s="68">
        <f>IF(B21=N29,"Max de répétitions",IF(B21=N30,"Max de répétitions",IF(B21=N31,"Max de répétitions et minimum 5",IF(B21=N32,"Max de répétitions et minimum 8",IF(B21=N33,"Max de répétitions et minimum 10",IF(B21=N34,"Max de répétitions et minimum 13",IF(B21=N35,"Max de répétitions et minimum 20",IF(B21=N36,"Max de répétitions et minimum 22",IF(B21=N37,"Max de répétitions et minimum 27",IF(B21=N38,"Max de répétitions et minimum 31",IF(B21=N39,"Max de répétitions et minimum 31",0)))))))))))</f>
        <v>0</v>
      </c>
      <c r="E168" s="112"/>
      <c r="F168" s="68" t="s">
        <v>130</v>
      </c>
      <c r="G168" s="68" t="s">
        <v>127</v>
      </c>
      <c r="H168" s="68"/>
    </row>
    <row r="169" spans="1:8" x14ac:dyDescent="0.25">
      <c r="A169" s="105" t="s">
        <v>271</v>
      </c>
      <c r="B169" s="68">
        <f>IF(B24=N29,"5",IF(B24=N30,"7",IF(B24=N31,"3",IF(B24=N32,"6",IF(B24=N33,8,IF(B24=N34,11,IF(B24=N35,14,IF(B24=N36,18,IF(B24=N37,25,IF(B24=N38,26,IF(B24=N39,26,0)))))))))))</f>
        <v>0</v>
      </c>
      <c r="C169" s="68">
        <f>IF(B24=N29,"5",IF(B24=N30,"6",IF(B24=N31,"4",IF(B24=N32,"9",IF(B24=N33,11,IF(B24=N34,15,IF(B24=N35,20,IF(B24=N36,25,IF(B24=N37,29,IF(B24=N38,31,IF(B24=N39,32,0)))))))))))</f>
        <v>0</v>
      </c>
      <c r="D169" s="68">
        <f>IF(B24=N29,"Max de répétitions",IF(B24=N30,"Max de répétitions",IF(B24=N31,"Max de répétitions et minimum 5",IF(B24=N32,"Max de répétitions et minimum 8",IF(B24=N33,"Max de répétitions et minimum 10",IF(B24=N34,"Max de répétitions et minimum 13",IF(B24=N35,"Max de répétitions et minimum 20",IF(B24=N36,"Max de répétitions et minimum 22",IF(B24=N37,"Max de répétitions et minimum 27",IF(B24=N38,"Max de répétitions et minimum 31",IF(B24=N39,"Max de répétitions et minimum 31",0)))))))))))</f>
        <v>0</v>
      </c>
      <c r="E169" s="112"/>
      <c r="F169" s="68" t="s">
        <v>292</v>
      </c>
      <c r="G169" s="68" t="s">
        <v>292</v>
      </c>
      <c r="H169" s="68"/>
    </row>
    <row r="170" spans="1:8" x14ac:dyDescent="0.25">
      <c r="A170" s="105" t="s">
        <v>171</v>
      </c>
      <c r="B170" s="68">
        <f>IF(B25=M29,"5",IF(B25=M30,"10",IF(B25=M31,"13",IF(B25=M32,"20",IF(B25=M33,25,IF(B25=M34,17,IF(B25=M35,22,IF(B25=M36,27,IF(B25=M37,30,IF(B25=M38,30,IF(B25=M39,30,IF(B25=M40,35,0))))))))))))</f>
        <v>0</v>
      </c>
      <c r="C170" s="68">
        <f>IF(B25=M29,"6",IF(B25=M30,"12",IF(B25=M31,"15",IF(B25=M32,"25",IF(B25=M33,29,IF(B25=M34,19,IF(B25=M35,24,IF(B25=M36,29,IF(B25=M37,34,IF(B25=M38,39,IF(B25=M39,44,IF(B25=M40,49,0))))))))))))</f>
        <v>0</v>
      </c>
      <c r="D170" s="68">
        <f>IF(B25=M29,"Max de répétitions et minimum 7",IF(B25=M30,"Max de répétitions et minimum 13",IF(B25=M31,"Max de répétitions et minimum 17",IF(B25=M32,"Max de répétitions et minimum 23",IF(B25=M33,"Max de répétitions et minimum 30",IF(B25=M34,"Max de répétitions et minimum 20",IF(B25=M35,"Max de répétitions et minimum 25",IF(B25=M36,"Max de répétitions et minimum 35",IF(B25=M37,"Max de répétitions et minimum 40",IF(B25=M38,"Max de répétitions et minimum 42",IF(B25=M39,"Max de répétitions et minimum 55",IF(B25=M40,"Max de répétitions et minimum 55",0))))))))))))</f>
        <v>0</v>
      </c>
      <c r="E170" s="112"/>
      <c r="F170" s="68" t="s">
        <v>130</v>
      </c>
      <c r="G170" s="68" t="s">
        <v>293</v>
      </c>
      <c r="H170" s="68"/>
    </row>
    <row r="171" spans="1:8" x14ac:dyDescent="0.25">
      <c r="A171" s="105" t="s">
        <v>161</v>
      </c>
      <c r="B171" s="68">
        <f>IF(B26=N29,"5",IF(B26=N30,"7",IF(B26=N31,"3",IF(B26=N32,"6",IF(B26=N33,8,IF(B26=N34,11,IF(B26=N35,14,IF(B26=N36,18,IF(B26=N37,25,IF(B26=N38,26,IF(B26=N39,26,0)))))))))))</f>
        <v>0</v>
      </c>
      <c r="C171" s="68">
        <f>IF(B26=N29,"5",IF(B26=N30,"6",IF(B26=N31,"4",IF(B26=N32,"9",IF(B26=N33,11,IF(B26=N34,15,IF(B26=N35,20,IF(B26=N36,25,IF(B26=N37,29,IF(B26=N38,31,IF(B26=N39,32,0)))))))))))</f>
        <v>0</v>
      </c>
      <c r="D171" s="68">
        <f>IF(B26=N29,"Max de répétitions",IF(B26=N30,"Max de répétitions",IF(B26=N31,"Max de répétitions et minimum 5",IF(B26=N32,"Max de répétitions et minimum 8",IF(B26=N33,"Max de répétitions et minimum 10",IF(B26=N34,"Max de répétitions et minimum 13",IF(B26=N35,"Max de répétitions et minimum 20",IF(B26=N36,"Max de répétitions et minimum 22",IF(B26=N37,"Max de répétitions et minimum 27",IF(B26=N38,"Max de répétitions et minimum 31",IF(B26=N39,"Max de répétitions et minimum 31",0)))))))))))</f>
        <v>0</v>
      </c>
      <c r="E171" s="112"/>
      <c r="F171" s="68" t="s">
        <v>131</v>
      </c>
      <c r="G171" s="112"/>
      <c r="H171" s="68"/>
    </row>
    <row r="172" spans="1:8" x14ac:dyDescent="0.25">
      <c r="A172" s="214" t="s">
        <v>139</v>
      </c>
      <c r="B172" s="215"/>
      <c r="C172" s="215"/>
      <c r="D172" s="215"/>
      <c r="E172" s="215"/>
      <c r="F172" s="215"/>
      <c r="G172" s="215"/>
      <c r="H172" s="215"/>
    </row>
    <row r="173" spans="1:8" x14ac:dyDescent="0.25">
      <c r="A173" s="214" t="s">
        <v>140</v>
      </c>
      <c r="B173" s="215"/>
      <c r="C173" s="215"/>
      <c r="D173" s="215"/>
      <c r="E173" s="215"/>
      <c r="F173" s="215"/>
      <c r="G173" s="215"/>
      <c r="H173" s="215"/>
    </row>
    <row r="174" spans="1:8" x14ac:dyDescent="0.25">
      <c r="A174" s="77"/>
      <c r="B174" s="77"/>
      <c r="C174" s="77"/>
      <c r="D174" s="77"/>
      <c r="E174" s="77"/>
      <c r="F174" s="77"/>
      <c r="G174" s="77"/>
      <c r="H174" s="77"/>
    </row>
    <row r="175" spans="1:8" ht="15.75" thickBot="1" x14ac:dyDescent="0.3">
      <c r="A175" s="213" t="s">
        <v>296</v>
      </c>
      <c r="B175" s="213"/>
      <c r="C175" s="213"/>
      <c r="D175" s="213"/>
      <c r="E175" s="213"/>
      <c r="F175" s="213"/>
      <c r="G175" s="213"/>
      <c r="H175" s="213"/>
    </row>
    <row r="176" spans="1:8" x14ac:dyDescent="0.25">
      <c r="A176" s="72" t="s">
        <v>272</v>
      </c>
      <c r="B176" s="208" t="s">
        <v>324</v>
      </c>
      <c r="C176" s="209"/>
      <c r="D176" s="209"/>
      <c r="E176" s="209"/>
      <c r="F176" s="1"/>
      <c r="G176" s="1"/>
      <c r="H176" s="147" t="s">
        <v>325</v>
      </c>
    </row>
    <row r="177" spans="1:8" x14ac:dyDescent="0.25">
      <c r="A177" s="73" t="s">
        <v>2</v>
      </c>
      <c r="B177" s="74" t="s">
        <v>3</v>
      </c>
      <c r="C177" s="74" t="s">
        <v>4</v>
      </c>
      <c r="D177" s="74" t="s">
        <v>5</v>
      </c>
      <c r="E177" s="74" t="s">
        <v>6</v>
      </c>
      <c r="F177" s="74" t="s">
        <v>124</v>
      </c>
      <c r="G177" s="74" t="s">
        <v>125</v>
      </c>
      <c r="H177" s="74" t="s">
        <v>123</v>
      </c>
    </row>
    <row r="178" spans="1:8" x14ac:dyDescent="0.25">
      <c r="A178" s="86" t="s">
        <v>252</v>
      </c>
      <c r="B178" s="68">
        <f>IF(B8=M29,"5",IF(B8=M30,"12",IF(B8=M31,"14",IF(B8=M32,"23",IF(B8=M33,29,IF(B8=M34,10,IF(B8=M35,15,IF(B8=M36,19,IF(B8=M37,19,IF(B8=M38,20,IF(B8=M39,22,IF(B8=M40,22,0))))))))))))</f>
        <v>0</v>
      </c>
      <c r="C178" s="68">
        <f>IF(B8=M29,"7",IF(B8=M30,"13",IF(B8=M31,"16",IF(B8=M32,"28",IF(B8=M33,33,IF(B8=M34,13,IF(B8=M35,18,IF(B8=M36,22,IF(B8=M37,23,IF(B8=M38,23,IF(B8=M39,27,IF(B8=M40,30,0))))))))))))</f>
        <v>0</v>
      </c>
      <c r="D178" s="68">
        <f>IF(B8=M29,"5",IF(B8=M30,"10",IF(B8=M31,"13",IF(B8=M32,"22",IF(B8=M33,29,IF(B8=M34,15,IF(B8=M35,20,IF(B8=M36,24,IF(B8=M37,27,IF(B8=M38,30,IF(B8=M39,33,IF(B8=M40,35,0))))))))))))</f>
        <v>0</v>
      </c>
      <c r="E178" s="68">
        <f>IF(B8=M29,"Max de répétitions et minimum 7",IF(B8=M30,"Max de répétitions et minimum 15",IF(B8=M31,"Max de répétitions et minimum 19",IF(B8=M32,"Max de répétitions et minimum 25",IF(B8=M33,"Max de répétitions et minimum 33",IF(B8=M34,"Max de répétitions et minimum 25",IF(B8=M35,"Max de répétitions et minimum 30",IF(B8=M36,"Max de répétitions et minimum 35",IF(B8=M37,"Max de répétitions et minimum 37",IF(B8=M38,"Max de répétitions et minimum 53",IF(B8=M39,"Max de répétitions et minimum 58",IF(B8=M40,"Max de répétitions et minimum 59",0))))))))))))</f>
        <v>0</v>
      </c>
      <c r="F178" s="68" t="s">
        <v>131</v>
      </c>
      <c r="G178" s="68" t="s">
        <v>127</v>
      </c>
      <c r="H178" s="76"/>
    </row>
    <row r="179" spans="1:8" x14ac:dyDescent="0.25">
      <c r="A179" s="79" t="s">
        <v>148</v>
      </c>
      <c r="B179" s="68">
        <f>IF(B9=N29,"6",IF(B9=N30,"8",IF(B9=N31,"4",IF(B9=N32,"6",IF(B9=N33,9,IF(B9=N34,12,IF(B9=N35,15,IF(B9=N36,19,IF(B9=N37,25,IF(B9=N38,26,IF(B9=N39,27,0)))))))))))</f>
        <v>0</v>
      </c>
      <c r="C179" s="68">
        <f>IF(B9=N29,"10",IF(B9=N30,"14",IF(B9=N31,"5",IF(B9=N32,"9",IF(B9=N33,11,IF(B9=N34,15,IF(B9=N35,20,IF(B9=N36,25,IF(B9=N37,29,IF(B9=N38,31,IF(B9=N39,32,0)))))))))))</f>
        <v>0</v>
      </c>
      <c r="D179" s="68">
        <f>IF(B9=N29,"8",IF(B9=N30,"11",IF(B9=N31,"4",IF(B9=N32,"6",IF(B9=N33,9,IF(B9=N34,11,IF(B9=N35,14,IF(B9=N36,18,IF(B9=N37,25,IF(B9=N38,26,IF(B9=N39,26,0)))))))))))</f>
        <v>0</v>
      </c>
      <c r="E179" s="68">
        <f>IF(B9=N29,"9",IF(B9=N30,"11",IF(B9=N31,"Max de répétitions et minimum 6",IF(B9=N32,"Max de répétitions et minimum 10",IF(B9=N33,"Max de répétitions et minimum 11",IF(B9=N34,"Max de répétitions et minimum 13",IF(B9=N35,"Max de répétitions et minimum 24",IF(B9=N36,"Max de répétitions et minimum 24",IF(B9=N37,"Max de répétitions et minimum 28",IF(B9=N38,"Max de répétitions et minimum 31",IF(B9=N39,"Max de répétitions et minimum 32",0)))))))))))</f>
        <v>0</v>
      </c>
      <c r="F179" s="68" t="s">
        <v>127</v>
      </c>
      <c r="G179" s="68" t="s">
        <v>128</v>
      </c>
      <c r="H179" s="114" t="str">
        <f>IF(OR(B9=N29,B9=N30),"Toutes les répétitions en excentrique : voir vidéo","")</f>
        <v/>
      </c>
    </row>
    <row r="180" spans="1:8" x14ac:dyDescent="0.25">
      <c r="A180" s="86" t="s">
        <v>147</v>
      </c>
      <c r="B180" s="68">
        <f>IF(B10=M29,"5",IF(B10=M30,"12",IF(B10=M31,"14",IF(B10=M32,"23",IF(B10=M33,29,IF(B10=M34,10,IF(B10=M35,15,IF(B10=M36,19,IF(B10=M37,19,IF(B10=M38,20,IF(B10=M39,22,IF(B10=M40,22,0))))))))))))</f>
        <v>0</v>
      </c>
      <c r="C180" s="68">
        <f>IF(B10=M29,"7",IF(B10=M30,"13",IF(B10=M31,"16",IF(B10=M32,"28",IF(B10=M33,33,IF(B10=M34,13,IF(B10=M35,18,IF(B10=M36,22,IF(B10=M37,23,IF(B10=M38,23,IF(B10=M39,27,IF(B10=M40,30,0))))))))))))</f>
        <v>0</v>
      </c>
      <c r="D180" s="68">
        <f>IF(B10=M29,"Max de répétitions et minimum 7",IF(B10=M30,"Max de répétitions et minimum 15",IF(B10=M31,"Max de répétitions et minimum 19",IF(B10=M32,"Max de répétitions et minimum 25",IF(B10=M33,"Max de répétitions et minimum 33",IF(B10=M34,"Max de répétitions et minimum 25",IF(B10=M35,"Max de répétitions et minimum 30",IF(B10=M36,"Max de répétitions et minimum 35",IF(B10=M37,"Max de répétitions et minimum 37",IF(B10=M38,"Max de répétitions et minimum 53",IF(B10=M39,"Max de répétitions et minimum 58",IF(B10=M40,"Max de répétitions et minimum 59",0))))))))))))</f>
        <v>0</v>
      </c>
      <c r="E180" s="115"/>
      <c r="F180" s="68" t="s">
        <v>127</v>
      </c>
      <c r="G180" s="68" t="s">
        <v>128</v>
      </c>
      <c r="H180" s="113"/>
    </row>
    <row r="181" spans="1:8" x14ac:dyDescent="0.25">
      <c r="A181" s="86" t="s">
        <v>273</v>
      </c>
      <c r="B181" s="68">
        <f>IF(B11=N29,"6",IF(B11=N30,"8",IF(B11=N31,"4",IF(B11=N32,"6",IF(B11=N33,9,IF(B11=N34,12,IF(B11=N35,15,IF(B11=N36,19,IF(B11=N37,25,IF(B11=N38,26,IF(B11=N39,27,0)))))))))))</f>
        <v>0</v>
      </c>
      <c r="C181" s="68">
        <f>IF(B11=N29,"5",IF(B11=N30,"7",IF(B11=N31,"5",IF(B11=N32,"9",IF(B11=N33,11,IF(B11=N34,15,IF(B11=N35,20,IF(B11=N36,25,IF(B11=N37,29,IF(B11=N38,31,IF(B11=N39,32,0)))))))))))</f>
        <v>0</v>
      </c>
      <c r="D181" s="68">
        <f>IF(B11=N29,"Max de répétitions",IF(B11=N30,"Max de répétitions",IF(B11=N31,"Max de répétitions et minimum 6",IF(B11=N32,"Max de répétitions et minimum 10",IF(B11=N33,"Max de répétitions et minimum 11",IF(B11=N34,"Max de répétitions et minimum 13",IF(B11=N35,"Max de répétitions et minimum 24",IF(B11=N36,"Max de répétitions et minimum 24",IF(B11=N37,"Max de répétitions et minimum 28",IF(B11=N38,"Max de répétitions et minimum 31",IF(B11=N39,"Max de répétitions et minimum 32",0)))))))))))</f>
        <v>0</v>
      </c>
      <c r="E181" s="115"/>
      <c r="F181" s="68" t="s">
        <v>131</v>
      </c>
      <c r="G181" s="68" t="s">
        <v>127</v>
      </c>
      <c r="H181" s="113"/>
    </row>
    <row r="182" spans="1:8" x14ac:dyDescent="0.25">
      <c r="A182" s="79" t="s">
        <v>274</v>
      </c>
      <c r="B182" s="68">
        <f>IF(B12=N29,"6",IF(B12=N30,"8",IF(B12=N31,"4",IF(B12=N32,"6",IF(B12=N33,9,IF(B12=N34,12,IF(B12=N35,15,IF(B12=N36,19,IF(B12=N37,25,IF(B12=N38,26,IF(B12=N39,27,0)))))))))))</f>
        <v>0</v>
      </c>
      <c r="C182" s="68">
        <f>IF(B12=N29,"5",IF(B12=N30,"7",IF(B12=N31,"5",IF(B12=N32,"9",IF(B12=N33,11,IF(B12=N34,15,IF(B12=N35,20,IF(B12=N36,25,IF(B12=N37,29,IF(B12=N38,31,IF(B12=N39,32,0)))))))))))</f>
        <v>0</v>
      </c>
      <c r="D182" s="68">
        <f>IF(B12=N29,"Max de répétitions",IF(B12=N30,"Max de répétitions",IF(B12=N31,"Max de répétitions et minimum 6",IF(B12=N32,"Max de répétitions et minimum 10",IF(B12=N33,"Max de répétitions et minimum 11",IF(B12=N34,"Max de répétitions et minimum 13",IF(B12=N35,"Max de répétitions et minimum 24",IF(B12=N36,"Max de répétitions et minimum 24",IF(B12=N37,"Max de répétitions et minimum 28",IF(B12=N38,"Max de répétitions et minimum 31",IF(B12=N39,"Max de répétitions et minimum 32",0)))))))))))</f>
        <v>0</v>
      </c>
      <c r="E182" s="115"/>
      <c r="F182" s="68" t="s">
        <v>131</v>
      </c>
      <c r="G182" s="68" t="s">
        <v>127</v>
      </c>
      <c r="H182" s="113"/>
    </row>
    <row r="183" spans="1:8" x14ac:dyDescent="0.25">
      <c r="A183" s="79" t="s">
        <v>282</v>
      </c>
      <c r="B183" s="68">
        <f>IF(B13=N29,"6",IF(B13=N30,"8",IF(B13=N31,"4",IF(B13=N32,"6",IF(B13=N33,9,IF(B13=N34,12,IF(B13=N35,15,IF(B13=N36,19,IF(B13=N37,25,IF(B13=N38,26,IF(B13=N39,27,0)))))))))))</f>
        <v>0</v>
      </c>
      <c r="C183" s="68">
        <f>IF(B13=N29,"5",IF(B13=N30,"7",IF(B13=N31,"5",IF(B13=N32,"9",IF(B13=N33,11,IF(B13=N34,15,IF(B13=N35,20,IF(B13=N36,25,IF(B13=N37,29,IF(B13=N38,31,IF(B13=N39,32,0)))))))))))</f>
        <v>0</v>
      </c>
      <c r="D183" s="68">
        <f>IF(B13=N29,"Max de répétitions",IF(B13=N30,"Max de répétitions",IF(B13=N31,"Max de répétitions et minimum 6",IF(B13=N32,"Max de répétitions et minimum 10",IF(B13=N33,"Max de répétitions et minimum 11",IF(B13=N34,"Max de répétitions et minimum 13",IF(B13=N35,"Max de répétitions et minimum 24",IF(B13=N36,"Max de répétitions et minimum 24",IF(B13=N37,"Max de répétitions et minimum 28",IF(B13=N38,"Max de répétitions et minimum 31",IF(B13=N39,"Max de répétitions et minimum 32",0)))))))))))</f>
        <v>0</v>
      </c>
      <c r="E183" s="115"/>
      <c r="F183" s="68" t="s">
        <v>131</v>
      </c>
      <c r="G183" s="115"/>
      <c r="H183" s="113"/>
    </row>
    <row r="184" spans="1:8" ht="15.75" thickBot="1" x14ac:dyDescent="0.3">
      <c r="A184" s="214" t="s">
        <v>289</v>
      </c>
      <c r="B184" s="215"/>
      <c r="C184" s="215"/>
      <c r="D184" s="215"/>
      <c r="E184" s="215"/>
      <c r="F184" s="215"/>
      <c r="G184" s="215"/>
      <c r="H184" s="215"/>
    </row>
    <row r="185" spans="1:8" x14ac:dyDescent="0.25">
      <c r="A185" s="72" t="s">
        <v>286</v>
      </c>
      <c r="B185" s="208" t="s">
        <v>324</v>
      </c>
      <c r="C185" s="209"/>
      <c r="D185" s="209"/>
      <c r="E185" s="209"/>
      <c r="F185" s="1"/>
      <c r="G185" s="1"/>
      <c r="H185" s="147" t="s">
        <v>325</v>
      </c>
    </row>
    <row r="186" spans="1:8" x14ac:dyDescent="0.25">
      <c r="A186" s="73" t="s">
        <v>2</v>
      </c>
      <c r="B186" s="74" t="s">
        <v>3</v>
      </c>
      <c r="C186" s="74" t="s">
        <v>4</v>
      </c>
      <c r="D186" s="74" t="s">
        <v>5</v>
      </c>
      <c r="E186" s="74" t="s">
        <v>6</v>
      </c>
      <c r="F186" s="74" t="s">
        <v>124</v>
      </c>
      <c r="G186" s="74" t="s">
        <v>125</v>
      </c>
      <c r="H186" s="74" t="s">
        <v>123</v>
      </c>
    </row>
    <row r="187" spans="1:8" x14ac:dyDescent="0.25">
      <c r="A187" s="79" t="s">
        <v>277</v>
      </c>
      <c r="B187" s="68">
        <f>IF(B18=N29,"6",IF(B18=N30,"8",IF(B18=N31,"4",IF(B18=N32,"6",IF(B18=N33,9,IF(B18=N34,12,IF(B18=N35,15,IF(B18=N36,19,IF(B18=N37,25,IF(B18=N38,26,IF(B18=N39,27,0)))))))))))</f>
        <v>0</v>
      </c>
      <c r="C187" s="68">
        <f>IF(B18=N29,"5",IF(B18=N30,"7",IF(B18=N31,"5",IF(B18=N32,"9",IF(B18=N33,11,IF(B18=N34,15,IF(B18=N35,20,IF(B18=N36,25,IF(B18=N37,29,IF(B18=N38,31,IF(B18=N39,32,0)))))))))))</f>
        <v>0</v>
      </c>
      <c r="D187" s="68">
        <f>IF(B18=N29,"5",IF(B18=N30,"6",IF(B18=N31,"4",IF(B18=N32,"6",IF(B18=N33,9,IF(B18=N34,11,IF(B18=N35,14,IF(B18=N36,18,IF(B18=N37,25,IF(B18=N38,26,IF(B18=N39,26,0)))))))))))</f>
        <v>0</v>
      </c>
      <c r="E187" s="68">
        <f>IF(B18=N29,"Max de répétitions",IF(B18=N30,"Max de répétitions",IF(B18=N31,"Max de répétitions et minimum 6",IF(B18=N32,"Max de répétitions et minimum 10",IF(B18=N33,"Max de répétitions et minimum 11",IF(B18=N34,"Max de répétitions et minimum 13",IF(B18=N35,"Max de répétitions et minimum 24",IF(B18=N36,"Max de répétitions et minimum 24",IF(B18=N37,"Max de répétitions et minimum 28",IF(B18=N38,"Max de répétitions et minimum 31",IF(B18=N39,"Max de répétitions et minimum 32",0)))))))))))</f>
        <v>0</v>
      </c>
      <c r="F187" s="68" t="s">
        <v>131</v>
      </c>
      <c r="G187" s="68" t="s">
        <v>128</v>
      </c>
      <c r="H187" s="68"/>
    </row>
    <row r="188" spans="1:8" x14ac:dyDescent="0.25">
      <c r="A188" s="79" t="s">
        <v>155</v>
      </c>
      <c r="B188" s="68">
        <f>IF(B16=N29,"6",IF(B16=N30,"8",IF(B16=N31,"4",IF(B16=N32,"6",IF(B16=N33,9,IF(B16=N34,12,IF(B16=N35,15,IF(B16=N36,19,IF(B16=N37,25,IF(B16=N38,26,IF(B16=N39,27,0)))))))))))</f>
        <v>0</v>
      </c>
      <c r="C188" s="68">
        <f>IF(B16=N29,"10",IF(B16=N30,"14",IF(B16=N31,"5",IF(B16=N32,"9",IF(B16=N33,11,IF(B16=N34,15,IF(B16=N35,20,IF(B16=N36,25,IF(B16=N37,29,IF(B16=N38,31,IF(B16=N39,32,0)))))))))))</f>
        <v>0</v>
      </c>
      <c r="D188" s="68">
        <f>IF(B16=N29,"8",IF(B16=N30,"11",IF(B16=N31,"4",IF(B16=N32,"6",IF(B16=N33,9,IF(B16=N34,11,IF(B16=N35,14,IF(B16=N36,18,IF(B16=N37,25,IF(B16=N38,26,IF(B16=N39,26,0)))))))))))</f>
        <v>0</v>
      </c>
      <c r="E188" s="68">
        <f>IF(B16=N29,"9",IF(B16=N30,"11",IF(B16=N31,"Max de répétitions et minimum 6",IF(B16=N32,"Max de répétitions et minimum 10",IF(B16=N33,"Max de répétitions et minimum 11",IF(B16=N34,"Max de répétitions et minimum 13",IF(B16=N35,"Max de répétitions et minimum 24",IF(B16=N36,"Max de répétitions et minimum 24",IF(B16=N37,"Max de répétitions et minimum 28",IF(B16=N38,"Max de répétitions et minimum 31",IF(B16=N39,"Max de répétitions et minimum 32",0)))))))))))</f>
        <v>0</v>
      </c>
      <c r="F188" s="68" t="s">
        <v>128</v>
      </c>
      <c r="G188" s="68" t="s">
        <v>127</v>
      </c>
      <c r="H188" s="76" t="str">
        <f>IF(OR(B16=N29,B16=N30),"Toutes les répétitions en excentrique","")</f>
        <v/>
      </c>
    </row>
    <row r="189" spans="1:8" x14ac:dyDescent="0.25">
      <c r="A189" s="79" t="s">
        <v>328</v>
      </c>
      <c r="B189" s="68">
        <f>IF(B15=N29,"6",IF(B15=N30,"8",IF(B15=N31,"4",IF(B15=N32,"6",IF(B15=N33,9,IF(B15=N34,12,IF(B15=N35,15,IF(B15=N36,19,IF(B15=N37,25,IF(B15=N38,26,IF(B15=N39,27,0)))))))))))</f>
        <v>0</v>
      </c>
      <c r="C189" s="68">
        <f>IF(B15=N29,"5",IF(B15=N30,"7",IF(B15=N31,"5",IF(B15=N32,"9",IF(B15=N33,11,IF(B15=N34,15,IF(B15=N35,20,IF(B15=N36,25,IF(B15=N37,29,IF(B15=N38,31,IF(B15=N39,32,0)))))))))))</f>
        <v>0</v>
      </c>
      <c r="D189" s="68">
        <f>IF(B15=N29,"Max de répétitions",IF(B15=N30,"Max de répétitions",IF(B15=N31,"Max de répétitions et minimum 6",IF(B15=N32,"Max de répétitions et minimum 10",IF(B15=N33,"Max de répétitions et minimum 11",IF(B15=N34,"Max de répétitions et minimum 13",IF(B15=N35,"Max de répétitions et minimum 24",IF(B15=N36,"Max de répétitions et minimum 24",IF(B15=N37,"Max de répétitions et minimum 28",IF(B15=N38,"Max de répétitions et minimum 31",IF(B15=N39,"Max de répétitions et minimum 32",0)))))))))))</f>
        <v>0</v>
      </c>
      <c r="E189" s="112"/>
      <c r="F189" s="68" t="s">
        <v>131</v>
      </c>
      <c r="G189" s="68" t="s">
        <v>131</v>
      </c>
      <c r="H189" s="76"/>
    </row>
    <row r="190" spans="1:8" x14ac:dyDescent="0.25">
      <c r="A190" s="79" t="s">
        <v>157</v>
      </c>
      <c r="B190" s="68">
        <f>IF(B17=N29,"6",IF(B17=N30,"8",IF(B17=N31,"4",IF(B17=N32,"6",IF(B17=N33,9,IF(B17=N34,12,IF(B17=N35,15,IF(B17=N36,19,IF(B17=N37,25,IF(B17=N38,26,IF(B17=N39,27,0)))))))))))</f>
        <v>0</v>
      </c>
      <c r="C190" s="68">
        <f>IF(B17=N29,"5",IF(B17=N30,"7",IF(B17=N31,"5",IF(B17=N32,"9",IF(B17=N33,11,IF(B17=N34,15,IF(B17=N35,20,IF(B17=N36,25,IF(B17=N37,29,IF(B17=N38,31,IF(B17=N39,32,0)))))))))))</f>
        <v>0</v>
      </c>
      <c r="D190" s="68">
        <f>IF(B17=N29,"Max de répétitions",IF(B17=N30,"Max de répétitions",IF(B17=N31,"Max de répétitions et minimum 6",IF(B17=N32,"Max de répétitions et minimum 10",IF(B17=N33,"Max de répétitions et minimum 11",IF(B17=N34,"Max de répétitions et minimum 13",IF(B17=N35,"Max de répétitions et minimum 24",IF(B17=N36,"Max de répétitions et minimum 24",IF(B17=N37,"Max de répétitions et minimum 28",IF(B17=N38,"Max de répétitions et minimum 31",IF(B17=N39,"Max de répétitions et minimum 32",0)))))))))))</f>
        <v>0</v>
      </c>
      <c r="E190" s="112"/>
      <c r="F190" s="68" t="s">
        <v>131</v>
      </c>
      <c r="G190" s="68" t="s">
        <v>131</v>
      </c>
      <c r="H190" s="68"/>
    </row>
    <row r="191" spans="1:8" x14ac:dyDescent="0.25">
      <c r="A191" s="79" t="s">
        <v>327</v>
      </c>
      <c r="B191" s="68">
        <f>IF(B19=N29,"6",IF(B19=N30,"8",IF(B19=N31,"4",IF(B19=N32,"6",IF(B19=N33,9,IF(B19=N34,12,IF(B19=N35,15,IF(B19=N36,19,IF(B19=N37,25,IF(B19=N38,26,IF(B19=N39,27,0)))))))))))</f>
        <v>0</v>
      </c>
      <c r="C191" s="68">
        <f>IF(B19=N29,"5",IF(B19=N30,"7",IF(B19=N31,"5",IF(B19=N32,"9",IF(B19=N33,11,IF(B19=N34,15,IF(B19=N35,20,IF(B19=N36,25,IF(B19=N37,29,IF(B19=N38,31,IF(B19=N39,32,0)))))))))))</f>
        <v>0</v>
      </c>
      <c r="D191" s="68">
        <f>IF(B19=N29,"Max de répétitions",IF(B19=N30,"Max de répétitions",IF(B19=N31,"Max de répétitions et minimum 6",IF(B19=N32,"Max de répétitions et minimum 10",IF(B19=N33,"Max de répétitions et minimum 11",IF(B19=N34,"Max de répétitions et minimum 13",IF(B19=N35,"Max de répétitions et minimum 24",IF(B19=N36,"Max de répétitions et minimum 24",IF(B19=N37,"Max de répétitions et minimum 28",IF(B19=N38,"Max de répétitions et minimum 31",IF(B19=N39,"Max de répétitions et minimum 32",0)))))))))))</f>
        <v>0</v>
      </c>
      <c r="E191" s="112"/>
      <c r="F191" s="68" t="s">
        <v>131</v>
      </c>
      <c r="G191" s="112"/>
      <c r="H191" s="68"/>
    </row>
    <row r="192" spans="1:8" ht="15.75" thickBot="1" x14ac:dyDescent="0.3">
      <c r="A192" s="214" t="s">
        <v>290</v>
      </c>
      <c r="B192" s="215"/>
      <c r="C192" s="215"/>
      <c r="D192" s="215"/>
      <c r="E192" s="215"/>
      <c r="F192" s="215"/>
      <c r="G192" s="215"/>
      <c r="H192" s="215"/>
    </row>
    <row r="193" spans="1:16" x14ac:dyDescent="0.25">
      <c r="A193" s="72" t="s">
        <v>291</v>
      </c>
      <c r="B193" s="208" t="s">
        <v>324</v>
      </c>
      <c r="C193" s="209"/>
      <c r="D193" s="209"/>
      <c r="E193" s="209"/>
      <c r="F193" s="1"/>
      <c r="G193" s="1"/>
      <c r="H193" s="147" t="s">
        <v>325</v>
      </c>
    </row>
    <row r="194" spans="1:16" x14ac:dyDescent="0.25">
      <c r="A194" s="73" t="s">
        <v>2</v>
      </c>
      <c r="B194" s="74" t="s">
        <v>3</v>
      </c>
      <c r="C194" s="74" t="s">
        <v>4</v>
      </c>
      <c r="D194" s="74" t="s">
        <v>5</v>
      </c>
      <c r="E194" s="74" t="s">
        <v>6</v>
      </c>
      <c r="F194" s="74" t="s">
        <v>124</v>
      </c>
      <c r="G194" s="74" t="s">
        <v>125</v>
      </c>
      <c r="H194" s="74" t="s">
        <v>123</v>
      </c>
    </row>
    <row r="195" spans="1:16" x14ac:dyDescent="0.25">
      <c r="A195" s="105" t="s">
        <v>174</v>
      </c>
      <c r="B195" s="68">
        <f>IF(B23=N29,"6",IF(B23=N30,"8",IF(B23=N31,"4",IF(B23=N32,"6",IF(B23=N33,9,IF(B23=N34,12,IF(B23=N35,15,IF(B23=N36,19,IF(B23=N37,25,IF(B23=N38,26,IF(B23=N39,27,0)))))))))))</f>
        <v>0</v>
      </c>
      <c r="C195" s="68">
        <f>IF(B23=N29,"5",IF(B23=N30,"7",IF(B23=N31,"5",IF(B23=N32,"9",IF(B23=N33,11,IF(B23=N34,15,IF(B23=N35,20,IF(B23=N36,25,IF(B23=N37,29,IF(B23=N38,31,IF(B23=N39,32,0)))))))))))</f>
        <v>0</v>
      </c>
      <c r="D195" s="68">
        <f>IF(B23=N29,"5",IF(B23=N30,"6",IF(B23=N31,"4",IF(B23=N32,"6",IF(B23=N33,9,IF(B23=N34,11,IF(B23=N35,14,IF(B23=N36,18,IF(B23=N37,25,IF(B23=N38,26,IF(B23=N39,26,0)))))))))))</f>
        <v>0</v>
      </c>
      <c r="E195" s="68">
        <f>IF(B23=N29,"Max de répétitions",IF(B23=N30,"Max de répétitions",IF(B23=N31,"Max de répétitions et minimum 6",IF(B23=N32,"Max de répétitions et minimum 10",IF(B23=N33,"Max de répétitions et minimum 11",IF(B23=N34,"Max de répétitions et minimum 13",IF(B23=N35,"Max de répétitions et minimum 24",IF(B23=N36,"Max de répétitions et minimum 24",IF(B23=N37,"Max de répétitions et minimum 28",IF(B23=N38,"Max de répétitions et minimum 31",IF(B23=N39,"Max de répétitions et minimum 32",0)))))))))))</f>
        <v>0</v>
      </c>
      <c r="F195" s="68" t="s">
        <v>130</v>
      </c>
      <c r="G195" s="68" t="s">
        <v>128</v>
      </c>
      <c r="H195" s="76" t="s">
        <v>137</v>
      </c>
    </row>
    <row r="196" spans="1:16" ht="15.75" thickBot="1" x14ac:dyDescent="0.3">
      <c r="A196" s="105" t="s">
        <v>270</v>
      </c>
      <c r="B196" s="68">
        <f>IF(B21=N29,"6",IF(B21=N30,"8",IF(B21=N31,"4",IF(B21=N32,"6",IF(B21=N33,9,IF(B21=N34,12,IF(B21=N35,15,IF(B21=N36,19,IF(B21=N37,25,IF(B21=N38,26,IF(B21=N39,27,0)))))))))))</f>
        <v>0</v>
      </c>
      <c r="C196" s="68">
        <f>IF(B21=N29,"5",IF(B21=N30,"7",IF(B21=N31,"5",IF(B21=N32,"9",IF(B21=N33,11,IF(B21=N34,15,IF(B21=N35,20,IF(B21=N36,25,IF(B21=N37,29,IF(B21=N38,31,IF(B21=N39,32,0)))))))))))</f>
        <v>0</v>
      </c>
      <c r="D196" s="68">
        <f>IF(B21=N29,"5",IF(B21=N30,"6",IF(B21=N31,"4",IF(B21=N32,"6",IF(B21=N33,9,IF(B21=N34,11,IF(B21=N35,14,IF(B21=N36,18,IF(B21=N37,25,IF(B21=N38,26,IF(B21=N39,26,0)))))))))))</f>
        <v>0</v>
      </c>
      <c r="E196" s="68">
        <f>IF(B21=N29,"Max de répétitions",IF(B21=N30,"Max de répétitions",IF(B21=N31,"Max de répétitions et minimum 6",IF(B21=N32,"Max de répétitions et minimum 10",IF(B21=N33,"Max de répétitions et minimum 11",IF(B21=N34,"Max de répétitions et minimum 13",IF(B21=N35,"Max de répétitions et minimum 24",IF(B21=N36,"Max de répétitions et minimum 24",IF(B21=N37,"Max de répétitions et minimum 28",IF(B21=N38,"Max de répétitions et minimum 31",IF(B21=N39,"Max de répétitions et minimum 32",0)))))))))))</f>
        <v>0</v>
      </c>
      <c r="F196" s="68" t="s">
        <v>130</v>
      </c>
      <c r="G196" s="68" t="s">
        <v>127</v>
      </c>
      <c r="H196" s="68"/>
    </row>
    <row r="197" spans="1:16" ht="15.75" thickBot="1" x14ac:dyDescent="0.3">
      <c r="A197" s="104" t="s">
        <v>166</v>
      </c>
      <c r="B197" s="68">
        <f>IF(B22=N29,"6",IF(B22=N30,"8",IF(B22=N31,"4",IF(B22=N32,"6",IF(B22=N33,9,IF(B22=N34,12,IF(B22=N35,15,IF(B22=N36,19,IF(B22=N37,25,IF(B22=N38,26,IF(B22=N39,27,0)))))))))))</f>
        <v>0</v>
      </c>
      <c r="C197" s="68">
        <f>IF(B22=N29,"5",IF(B22=N30,"7",IF(B22=N31,"5",IF(B22=N32,"9",IF(B22=N33,11,IF(B22=N34,15,IF(B22=N35,20,IF(B22=N36,25,IF(B22=N37,29,IF(B22=N38,31,IF(B22=N39,32,0)))))))))))</f>
        <v>0</v>
      </c>
      <c r="D197" s="68">
        <f>IF(B22=N29,"Max de répétitions",IF(B22=N30,"Max de répétitions",IF(B22=N31,"Max de répétitions et minimum 6",IF(B22=N32,"Max de répétitions et minimum 10",IF(B22=N33,"Max de répétitions et minimum 11",IF(B22=N34,"Max de répétitions et minimum 13",IF(B22=N35,"Max de répétitions et minimum 24",IF(B22=N36,"Max de répétitions et minimum 24",IF(B22=N37,"Max de répétitions et minimum 28",IF(B22=N38,"Max de répétitions et minimum 31",IF(B22=N39,"Max de répétitions et minimum 32",0)))))))))))</f>
        <v>0</v>
      </c>
      <c r="E197" s="112"/>
      <c r="F197" s="68" t="s">
        <v>130</v>
      </c>
      <c r="G197" s="68" t="s">
        <v>128</v>
      </c>
      <c r="H197" s="68"/>
    </row>
    <row r="198" spans="1:16" x14ac:dyDescent="0.25">
      <c r="A198" s="105" t="s">
        <v>271</v>
      </c>
      <c r="B198" s="68">
        <f>IF(B24=N29,"6",IF(B24=N30,"8",IF(B24=N31,"4",IF(B24=N32,"6",IF(B24=N33,9,IF(B24=N34,12,IF(B24=N35,15,IF(B24=N36,19,IF(B24=N37,25,IF(B24=N38,26,IF(B24=N39,27,0)))))))))))</f>
        <v>0</v>
      </c>
      <c r="C198" s="68">
        <f>IF(B24=N29,"5",IF(B24=N30,"7",IF(B24=N31,"5",IF(B24=N32,"9",IF(B24=N33,11,IF(B24=N34,15,IF(B24=N35,20,IF(B24=N36,25,IF(B24=N37,29,IF(B24=N38,31,IF(B24=N39,32,0)))))))))))</f>
        <v>0</v>
      </c>
      <c r="D198" s="68">
        <f>IF(B24=N29,"Max de répétitions",IF(B24=N30,"Max de répétitions",IF(B24=N31,"Max de répétitions et minimum 6",IF(B24=N32,"Max de répétitions et minimum 10",IF(B24=N33,"Max de répétitions et minimum 11",IF(B24=N34,"Max de répétitions et minimum 13",IF(B24=N35,"Max de répétitions et minimum 24",IF(B24=N36,"Max de répétitions et minimum 24",IF(B24=N37,"Max de répétitions et minimum 28",IF(B24=N38,"Max de répétitions et minimum 31",IF(B24=N39,"Max de répétitions et minimum 32",0)))))))))))</f>
        <v>0</v>
      </c>
      <c r="E198" s="112"/>
      <c r="F198" s="68" t="s">
        <v>292</v>
      </c>
      <c r="G198" s="68" t="s">
        <v>292</v>
      </c>
      <c r="H198" s="68"/>
    </row>
    <row r="199" spans="1:16" x14ac:dyDescent="0.25">
      <c r="A199" s="105" t="s">
        <v>171</v>
      </c>
      <c r="B199" s="68">
        <f>IF(B25=M29,"5",IF(B25=M30,"12",IF(B25=M31,"14",IF(B25=M32,"23",IF(B25=M33,29,IF(B25=M34,10,IF(B25=M35,15,IF(B25=M36,19,IF(B25=M37,19,IF(B25=M38,20,IF(B25=M39,22,IF(B25=M40,22,0))))))))))))</f>
        <v>0</v>
      </c>
      <c r="C199" s="68">
        <f>IF(B25=M29,"7",IF(B25=M30,"13",IF(B25=M31,"16",IF(B25=M32,"28",IF(B25=M33,33,IF(B25=M34,13,IF(B25=M35,18,IF(B25=M36,22,IF(B25=M37,23,IF(B25=M38,23,IF(B25=M39,27,IF(B25=M40,30,0))))))))))))</f>
        <v>0</v>
      </c>
      <c r="D199" s="68">
        <f>IF(B25=M29,"Max de répétitions et minimum 7",IF(B25=M30,"Max de répétitions et minimum 15",IF(B25=M31,"Max de répétitions et minimum 19",IF(B25=M32,"Max de répétitions et minimum 25",IF(B25=M33,"Max de répétitions et minimum 33",IF(B25=M34,"Max de répétitions et minimum 25",IF(B25=M35,"Max de répétitions et minimum 30",IF(B25=M36,"Max de répétitions et minimum 35",IF(B25=M37,"Max de répétitions et minimum 37",IF(B25=M38,"Max de répétitions et minimum 53",IF(B25=M39,"Max de répétitions et minimum 58",IF(B25=M40,"Max de répétitions et minimum 59",0))))))))))))</f>
        <v>0</v>
      </c>
      <c r="E199" s="112"/>
      <c r="F199" s="68" t="s">
        <v>130</v>
      </c>
      <c r="G199" s="68" t="s">
        <v>293</v>
      </c>
      <c r="H199" s="68"/>
    </row>
    <row r="200" spans="1:16" x14ac:dyDescent="0.25">
      <c r="A200" s="105" t="s">
        <v>161</v>
      </c>
      <c r="B200" s="68">
        <f>IF(B26=N29,"6",IF(B26=N30,"8",IF(B26=N31,"4",IF(B26=N32,"6",IF(B26=N33,9,IF(B26=N34,12,IF(B26=N35,15,IF(B26=N36,19,IF(B26=N37,25,IF(B26=N38,26,IF(B26=N39,27,0)))))))))))</f>
        <v>0</v>
      </c>
      <c r="C200" s="68">
        <f>IF(B26=N29,"5",IF(B26=N30,"7",IF(B26=N31,"5",IF(B26=N32,"9",IF(B26=N33,11,IF(B26=N34,15,IF(B26=N35,20,IF(B26=N36,25,IF(B26=N37,29,IF(B26=N38,31,IF(B26=N39,32,0)))))))))))</f>
        <v>0</v>
      </c>
      <c r="D200" s="68">
        <f>IF(B26=N29,"Max de répétitions",IF(B26=N30,"Max de répétitions",IF(B26=N31,"Max de répétitions et minimum 6",IF(B26=N32,"Max de répétitions et minimum 10",IF(B26=N33,"Max de répétitions et minimum 11",IF(B26=N34,"Max de répétitions et minimum 13",IF(B26=N35,"Max de répétitions et minimum 24",IF(B26=N36,"Max de répétitions et minimum 24",IF(B26=N37,"Max de répétitions et minimum 28",IF(B26=N38,"Max de répétitions et minimum 31",IF(B26=N39,"Max de répétitions et minimum 32",0)))))))))))</f>
        <v>0</v>
      </c>
      <c r="E200" s="112"/>
      <c r="F200" s="68" t="s">
        <v>131</v>
      </c>
      <c r="G200" s="112"/>
      <c r="H200" s="68"/>
    </row>
    <row r="201" spans="1:16" x14ac:dyDescent="0.25">
      <c r="A201" s="214" t="s">
        <v>139</v>
      </c>
      <c r="B201" s="215"/>
      <c r="C201" s="215"/>
      <c r="D201" s="215"/>
      <c r="E201" s="215"/>
      <c r="F201" s="215"/>
      <c r="G201" s="215"/>
      <c r="H201" s="215"/>
    </row>
    <row r="202" spans="1:16" x14ac:dyDescent="0.25">
      <c r="A202" s="214" t="s">
        <v>140</v>
      </c>
      <c r="B202" s="215"/>
      <c r="C202" s="215"/>
      <c r="D202" s="215"/>
      <c r="E202" s="215"/>
      <c r="F202" s="215"/>
      <c r="G202" s="215"/>
      <c r="H202" s="215"/>
    </row>
    <row r="203" spans="1:16" x14ac:dyDescent="0.25">
      <c r="A203" s="212" t="s">
        <v>326</v>
      </c>
      <c r="B203" s="212"/>
      <c r="C203" s="212"/>
      <c r="D203" s="212"/>
      <c r="E203" s="212"/>
      <c r="F203" s="212"/>
      <c r="G203" s="212"/>
      <c r="H203" s="212"/>
    </row>
    <row r="204" spans="1:16" x14ac:dyDescent="0.25">
      <c r="A204" s="212" t="s">
        <v>297</v>
      </c>
      <c r="B204" s="212"/>
      <c r="C204" s="212"/>
      <c r="D204" s="212"/>
      <c r="E204" s="212"/>
      <c r="F204" s="212"/>
      <c r="G204" s="212"/>
      <c r="H204" s="212"/>
    </row>
    <row r="205" spans="1:16" x14ac:dyDescent="0.25">
      <c r="A205" s="212" t="s">
        <v>170</v>
      </c>
      <c r="B205" s="212"/>
      <c r="C205" s="212"/>
      <c r="D205" s="212"/>
      <c r="E205" s="212"/>
      <c r="F205" s="212"/>
      <c r="G205" s="212"/>
      <c r="H205" s="212"/>
    </row>
    <row r="206" spans="1:16" x14ac:dyDescent="0.25">
      <c r="A206" s="212" t="s">
        <v>175</v>
      </c>
      <c r="B206" s="212"/>
      <c r="C206" s="212"/>
      <c r="D206" s="212"/>
      <c r="E206" s="212"/>
      <c r="F206" s="212"/>
      <c r="G206" s="212"/>
      <c r="H206" s="212"/>
    </row>
    <row r="207" spans="1:16" s="1" customFormat="1" x14ac:dyDescent="0.25">
      <c r="L207" s="8"/>
      <c r="M207" s="8"/>
      <c r="N207" s="8"/>
      <c r="O207" s="8"/>
      <c r="P207" s="8"/>
    </row>
    <row r="208" spans="1:16" s="1" customFormat="1" x14ac:dyDescent="0.25">
      <c r="L208" s="8"/>
      <c r="M208" s="8"/>
      <c r="N208" s="8"/>
      <c r="O208" s="8"/>
      <c r="P208" s="8"/>
    </row>
    <row r="209" spans="12:16" s="1" customFormat="1" x14ac:dyDescent="0.25">
      <c r="L209" s="8"/>
      <c r="M209" s="8"/>
      <c r="N209" s="8"/>
      <c r="O209" s="8"/>
      <c r="P209" s="8"/>
    </row>
    <row r="210" spans="12:16" s="1" customFormat="1" x14ac:dyDescent="0.25">
      <c r="L210" s="8"/>
      <c r="M210" s="8"/>
      <c r="N210" s="8"/>
      <c r="O210" s="8"/>
      <c r="P210" s="8"/>
    </row>
    <row r="211" spans="12:16" s="1" customFormat="1" x14ac:dyDescent="0.25">
      <c r="L211" s="8"/>
      <c r="M211" s="8"/>
      <c r="N211" s="8"/>
      <c r="O211" s="8"/>
      <c r="P211" s="8"/>
    </row>
    <row r="212" spans="12:16" s="1" customFormat="1" x14ac:dyDescent="0.25">
      <c r="L212" s="8"/>
      <c r="M212" s="8"/>
      <c r="N212" s="8"/>
      <c r="O212" s="8"/>
      <c r="P212" s="8"/>
    </row>
    <row r="213" spans="12:16" s="1" customFormat="1" x14ac:dyDescent="0.25">
      <c r="L213" s="8"/>
      <c r="M213" s="8"/>
      <c r="N213" s="8"/>
      <c r="O213" s="8"/>
      <c r="P213" s="8"/>
    </row>
    <row r="214" spans="12:16" s="1" customFormat="1" x14ac:dyDescent="0.25">
      <c r="L214" s="8"/>
      <c r="M214" s="8"/>
      <c r="N214" s="8"/>
      <c r="O214" s="8"/>
      <c r="P214" s="8"/>
    </row>
    <row r="215" spans="12:16" s="1" customFormat="1" x14ac:dyDescent="0.25">
      <c r="L215" s="8"/>
      <c r="M215" s="8"/>
      <c r="N215" s="8"/>
      <c r="O215" s="8"/>
      <c r="P215" s="8"/>
    </row>
    <row r="216" spans="12:16" s="1" customFormat="1" x14ac:dyDescent="0.25">
      <c r="L216" s="8"/>
      <c r="M216" s="8"/>
      <c r="N216" s="8"/>
      <c r="O216" s="8"/>
      <c r="P216" s="8"/>
    </row>
    <row r="217" spans="12:16" s="1" customFormat="1" x14ac:dyDescent="0.25">
      <c r="L217" s="8"/>
      <c r="M217" s="8"/>
      <c r="N217" s="8"/>
      <c r="O217" s="8"/>
      <c r="P217" s="8"/>
    </row>
    <row r="218" spans="12:16" s="1" customFormat="1" x14ac:dyDescent="0.25">
      <c r="L218" s="8"/>
      <c r="M218" s="8"/>
      <c r="N218" s="8"/>
      <c r="O218" s="8"/>
      <c r="P218" s="8"/>
    </row>
    <row r="219" spans="12:16" s="1" customFormat="1" x14ac:dyDescent="0.25">
      <c r="L219" s="8"/>
      <c r="M219" s="8"/>
      <c r="N219" s="8"/>
      <c r="O219" s="8"/>
      <c r="P219" s="8"/>
    </row>
    <row r="220" spans="12:16" s="1" customFormat="1" x14ac:dyDescent="0.25">
      <c r="L220" s="8"/>
      <c r="M220" s="8"/>
      <c r="N220" s="8"/>
      <c r="O220" s="8"/>
      <c r="P220" s="8"/>
    </row>
    <row r="221" spans="12:16" s="1" customFormat="1" x14ac:dyDescent="0.25">
      <c r="L221" s="8"/>
      <c r="M221" s="8"/>
      <c r="N221" s="8"/>
      <c r="O221" s="8"/>
      <c r="P221" s="8"/>
    </row>
    <row r="222" spans="12:16" s="1" customFormat="1" x14ac:dyDescent="0.25">
      <c r="L222" s="8"/>
      <c r="M222" s="8"/>
      <c r="N222" s="8"/>
      <c r="O222" s="8"/>
      <c r="P222" s="8"/>
    </row>
    <row r="223" spans="12:16" s="1" customFormat="1" x14ac:dyDescent="0.25">
      <c r="L223" s="8"/>
      <c r="M223" s="8"/>
      <c r="N223" s="8"/>
      <c r="O223" s="8"/>
      <c r="P223" s="8"/>
    </row>
    <row r="224" spans="12:16" s="1" customFormat="1" x14ac:dyDescent="0.25">
      <c r="L224" s="8"/>
      <c r="M224" s="8"/>
      <c r="N224" s="8"/>
      <c r="O224" s="8"/>
      <c r="P224" s="8"/>
    </row>
    <row r="225" spans="12:16" s="1" customFormat="1" x14ac:dyDescent="0.25">
      <c r="L225" s="8"/>
      <c r="M225" s="8"/>
      <c r="N225" s="8"/>
      <c r="O225" s="8"/>
      <c r="P225" s="8"/>
    </row>
    <row r="226" spans="12:16" s="1" customFormat="1" x14ac:dyDescent="0.25">
      <c r="L226" s="8"/>
      <c r="M226" s="8"/>
      <c r="N226" s="8"/>
      <c r="O226" s="8"/>
      <c r="P226" s="8"/>
    </row>
    <row r="227" spans="12:16" s="1" customFormat="1" x14ac:dyDescent="0.25">
      <c r="L227" s="8"/>
      <c r="M227" s="8"/>
      <c r="N227" s="8"/>
      <c r="O227" s="8"/>
      <c r="P227" s="8"/>
    </row>
    <row r="228" spans="12:16" s="1" customFormat="1" x14ac:dyDescent="0.25">
      <c r="L228" s="8"/>
      <c r="M228" s="8"/>
      <c r="N228" s="8"/>
      <c r="O228" s="8"/>
      <c r="P228" s="8"/>
    </row>
    <row r="229" spans="12:16" s="1" customFormat="1" x14ac:dyDescent="0.25">
      <c r="L229" s="8"/>
      <c r="M229" s="8"/>
      <c r="N229" s="8"/>
      <c r="O229" s="8"/>
      <c r="P229" s="8"/>
    </row>
    <row r="230" spans="12:16" s="1" customFormat="1" x14ac:dyDescent="0.25">
      <c r="L230" s="8"/>
      <c r="M230" s="8"/>
      <c r="N230" s="8"/>
      <c r="O230" s="8"/>
      <c r="P230" s="8"/>
    </row>
    <row r="231" spans="12:16" s="1" customFormat="1" x14ac:dyDescent="0.25">
      <c r="L231" s="8"/>
      <c r="M231" s="8"/>
      <c r="N231" s="8"/>
      <c r="O231" s="8"/>
      <c r="P231" s="8"/>
    </row>
    <row r="232" spans="12:16" s="1" customFormat="1" x14ac:dyDescent="0.25">
      <c r="L232" s="8"/>
      <c r="M232" s="8"/>
      <c r="N232" s="8"/>
      <c r="O232" s="8"/>
      <c r="P232" s="8"/>
    </row>
    <row r="233" spans="12:16" s="1" customFormat="1" x14ac:dyDescent="0.25">
      <c r="L233" s="8"/>
      <c r="M233" s="8"/>
      <c r="N233" s="8"/>
      <c r="O233" s="8"/>
      <c r="P233" s="8"/>
    </row>
    <row r="234" spans="12:16" s="1" customFormat="1" x14ac:dyDescent="0.25">
      <c r="L234" s="8"/>
      <c r="M234" s="8"/>
      <c r="N234" s="8"/>
      <c r="O234" s="8"/>
      <c r="P234" s="8"/>
    </row>
    <row r="235" spans="12:16" s="1" customFormat="1" x14ac:dyDescent="0.25">
      <c r="L235" s="8"/>
      <c r="M235" s="8"/>
      <c r="N235" s="8"/>
      <c r="O235" s="8"/>
      <c r="P235" s="8"/>
    </row>
    <row r="236" spans="12:16" s="1" customFormat="1" x14ac:dyDescent="0.25">
      <c r="L236" s="8"/>
      <c r="M236" s="8"/>
      <c r="N236" s="8"/>
      <c r="O236" s="8"/>
      <c r="P236" s="8"/>
    </row>
    <row r="237" spans="12:16" s="1" customFormat="1" x14ac:dyDescent="0.25">
      <c r="L237" s="8"/>
      <c r="M237" s="8"/>
      <c r="N237" s="8"/>
      <c r="O237" s="8"/>
      <c r="P237" s="8"/>
    </row>
    <row r="238" spans="12:16" s="1" customFormat="1" x14ac:dyDescent="0.25">
      <c r="L238" s="8"/>
      <c r="M238" s="8"/>
      <c r="N238" s="8"/>
      <c r="O238" s="8"/>
      <c r="P238" s="8"/>
    </row>
    <row r="239" spans="12:16" s="1" customFormat="1" x14ac:dyDescent="0.25">
      <c r="L239" s="8"/>
      <c r="M239" s="8"/>
      <c r="N239" s="8"/>
      <c r="O239" s="8"/>
      <c r="P239" s="8"/>
    </row>
    <row r="240" spans="12:16" s="1" customFormat="1" x14ac:dyDescent="0.25">
      <c r="L240" s="8"/>
      <c r="M240" s="8"/>
      <c r="N240" s="8"/>
      <c r="O240" s="8"/>
      <c r="P240" s="8"/>
    </row>
    <row r="241" spans="12:16" s="1" customFormat="1" x14ac:dyDescent="0.25">
      <c r="L241" s="8"/>
      <c r="M241" s="8"/>
      <c r="N241" s="8"/>
      <c r="O241" s="8"/>
      <c r="P241" s="8"/>
    </row>
    <row r="242" spans="12:16" s="1" customFormat="1" x14ac:dyDescent="0.25">
      <c r="L242" s="8"/>
      <c r="M242" s="8"/>
      <c r="N242" s="8"/>
      <c r="O242" s="8"/>
      <c r="P242" s="8"/>
    </row>
    <row r="243" spans="12:16" s="1" customFormat="1" x14ac:dyDescent="0.25">
      <c r="L243" s="8"/>
      <c r="M243" s="8"/>
      <c r="N243" s="8"/>
      <c r="O243" s="8"/>
      <c r="P243" s="8"/>
    </row>
    <row r="244" spans="12:16" s="1" customFormat="1" x14ac:dyDescent="0.25">
      <c r="L244" s="8"/>
      <c r="M244" s="8"/>
      <c r="N244" s="8"/>
      <c r="O244" s="8"/>
      <c r="P244" s="8"/>
    </row>
    <row r="245" spans="12:16" s="1" customFormat="1" x14ac:dyDescent="0.25">
      <c r="L245" s="8"/>
      <c r="M245" s="8"/>
      <c r="N245" s="8"/>
      <c r="O245" s="8"/>
      <c r="P245" s="8"/>
    </row>
    <row r="246" spans="12:16" s="1" customFormat="1" x14ac:dyDescent="0.25">
      <c r="L246" s="8"/>
      <c r="M246" s="8"/>
      <c r="N246" s="8"/>
      <c r="O246" s="8"/>
      <c r="P246" s="8"/>
    </row>
    <row r="247" spans="12:16" s="1" customFormat="1" x14ac:dyDescent="0.25">
      <c r="L247" s="8"/>
      <c r="M247" s="8"/>
      <c r="N247" s="8"/>
      <c r="O247" s="8"/>
      <c r="P247" s="8"/>
    </row>
    <row r="248" spans="12:16" s="1" customFormat="1" x14ac:dyDescent="0.25">
      <c r="L248" s="8"/>
      <c r="M248" s="8"/>
      <c r="N248" s="8"/>
      <c r="O248" s="8"/>
      <c r="P248" s="8"/>
    </row>
    <row r="249" spans="12:16" s="1" customFormat="1" x14ac:dyDescent="0.25">
      <c r="L249" s="8"/>
      <c r="M249" s="8"/>
      <c r="N249" s="8"/>
      <c r="O249" s="8"/>
      <c r="P249" s="8"/>
    </row>
    <row r="250" spans="12:16" s="1" customFormat="1" x14ac:dyDescent="0.25">
      <c r="L250" s="8"/>
      <c r="M250" s="8"/>
      <c r="N250" s="8"/>
      <c r="O250" s="8"/>
      <c r="P250" s="8"/>
    </row>
    <row r="251" spans="12:16" s="1" customFormat="1" x14ac:dyDescent="0.25">
      <c r="L251" s="8"/>
      <c r="M251" s="8"/>
      <c r="N251" s="8"/>
      <c r="O251" s="8"/>
      <c r="P251" s="8"/>
    </row>
    <row r="252" spans="12:16" s="1" customFormat="1" x14ac:dyDescent="0.25">
      <c r="L252" s="8"/>
      <c r="M252" s="8"/>
      <c r="N252" s="8"/>
      <c r="O252" s="8"/>
      <c r="P252" s="8"/>
    </row>
    <row r="253" spans="12:16" s="1" customFormat="1" x14ac:dyDescent="0.25">
      <c r="L253" s="8"/>
      <c r="M253" s="8"/>
      <c r="N253" s="8"/>
      <c r="O253" s="8"/>
      <c r="P253" s="8"/>
    </row>
    <row r="254" spans="12:16" s="1" customFormat="1" x14ac:dyDescent="0.25">
      <c r="L254" s="8"/>
      <c r="M254" s="8"/>
      <c r="N254" s="8"/>
      <c r="O254" s="8"/>
      <c r="P254" s="8"/>
    </row>
    <row r="255" spans="12:16" s="1" customFormat="1" x14ac:dyDescent="0.25">
      <c r="L255" s="8"/>
      <c r="M255" s="8"/>
      <c r="N255" s="8"/>
      <c r="O255" s="8"/>
      <c r="P255" s="8"/>
    </row>
    <row r="256" spans="12:16" s="1" customFormat="1" x14ac:dyDescent="0.25">
      <c r="L256" s="8"/>
      <c r="M256" s="8"/>
      <c r="N256" s="8"/>
      <c r="O256" s="8"/>
      <c r="P256" s="8"/>
    </row>
    <row r="257" spans="12:16" s="1" customFormat="1" x14ac:dyDescent="0.25">
      <c r="L257" s="8"/>
      <c r="M257" s="8"/>
      <c r="N257" s="8"/>
      <c r="O257" s="8"/>
      <c r="P257" s="8"/>
    </row>
    <row r="258" spans="12:16" s="1" customFormat="1" x14ac:dyDescent="0.25">
      <c r="L258" s="8"/>
      <c r="M258" s="8"/>
      <c r="N258" s="8"/>
      <c r="O258" s="8"/>
      <c r="P258" s="8"/>
    </row>
    <row r="259" spans="12:16" s="1" customFormat="1" x14ac:dyDescent="0.25">
      <c r="L259" s="8"/>
      <c r="M259" s="8"/>
      <c r="N259" s="8"/>
      <c r="O259" s="8"/>
      <c r="P259" s="8"/>
    </row>
    <row r="260" spans="12:16" s="1" customFormat="1" x14ac:dyDescent="0.25">
      <c r="L260" s="8"/>
      <c r="M260" s="8"/>
      <c r="N260" s="8"/>
      <c r="O260" s="8"/>
      <c r="P260" s="8"/>
    </row>
    <row r="261" spans="12:16" s="1" customFormat="1" x14ac:dyDescent="0.25">
      <c r="L261" s="8"/>
      <c r="M261" s="8"/>
      <c r="N261" s="8"/>
      <c r="O261" s="8"/>
      <c r="P261" s="8"/>
    </row>
    <row r="262" spans="12:16" s="1" customFormat="1" x14ac:dyDescent="0.25">
      <c r="L262" s="8"/>
      <c r="M262" s="8"/>
      <c r="N262" s="8"/>
      <c r="O262" s="8"/>
      <c r="P262" s="8"/>
    </row>
    <row r="263" spans="12:16" s="1" customFormat="1" x14ac:dyDescent="0.25">
      <c r="L263" s="8"/>
      <c r="M263" s="8"/>
      <c r="N263" s="8"/>
      <c r="O263" s="8"/>
      <c r="P263" s="8"/>
    </row>
    <row r="264" spans="12:16" s="1" customFormat="1" x14ac:dyDescent="0.25">
      <c r="L264" s="8"/>
      <c r="M264" s="8"/>
      <c r="N264" s="8"/>
      <c r="O264" s="8"/>
      <c r="P264" s="8"/>
    </row>
    <row r="265" spans="12:16" s="1" customFormat="1" x14ac:dyDescent="0.25">
      <c r="L265" s="8"/>
      <c r="M265" s="8"/>
      <c r="N265" s="8"/>
      <c r="O265" s="8"/>
      <c r="P265" s="8"/>
    </row>
    <row r="266" spans="12:16" s="1" customFormat="1" x14ac:dyDescent="0.25">
      <c r="L266" s="8"/>
      <c r="M266" s="8"/>
      <c r="N266" s="8"/>
      <c r="O266" s="8"/>
      <c r="P266" s="8"/>
    </row>
    <row r="267" spans="12:16" s="1" customFormat="1" x14ac:dyDescent="0.25">
      <c r="L267" s="8"/>
      <c r="M267" s="8"/>
      <c r="N267" s="8"/>
      <c r="O267" s="8"/>
      <c r="P267" s="8"/>
    </row>
    <row r="268" spans="12:16" s="1" customFormat="1" x14ac:dyDescent="0.25">
      <c r="L268" s="8"/>
      <c r="M268" s="8"/>
      <c r="N268" s="8"/>
      <c r="O268" s="8"/>
      <c r="P268" s="8"/>
    </row>
    <row r="269" spans="12:16" s="1" customFormat="1" x14ac:dyDescent="0.25">
      <c r="L269" s="8"/>
      <c r="M269" s="8"/>
      <c r="N269" s="8"/>
      <c r="O269" s="8"/>
      <c r="P269" s="8"/>
    </row>
    <row r="270" spans="12:16" s="1" customFormat="1" x14ac:dyDescent="0.25">
      <c r="L270" s="8"/>
      <c r="M270" s="8"/>
      <c r="N270" s="8"/>
      <c r="O270" s="8"/>
      <c r="P270" s="8"/>
    </row>
    <row r="271" spans="12:16" s="1" customFormat="1" x14ac:dyDescent="0.25">
      <c r="L271" s="8"/>
      <c r="M271" s="8"/>
      <c r="N271" s="8"/>
      <c r="O271" s="8"/>
      <c r="P271" s="8"/>
    </row>
    <row r="272" spans="12:16" s="1" customFormat="1" x14ac:dyDescent="0.25">
      <c r="L272" s="8"/>
      <c r="M272" s="8"/>
      <c r="N272" s="8"/>
      <c r="O272" s="8"/>
      <c r="P272" s="8"/>
    </row>
    <row r="273" spans="12:16" s="1" customFormat="1" x14ac:dyDescent="0.25">
      <c r="L273" s="8"/>
      <c r="M273" s="8"/>
      <c r="N273" s="8"/>
      <c r="O273" s="8"/>
      <c r="P273" s="8"/>
    </row>
    <row r="274" spans="12:16" s="1" customFormat="1" x14ac:dyDescent="0.25">
      <c r="L274" s="8"/>
      <c r="M274" s="8"/>
      <c r="N274" s="8"/>
      <c r="O274" s="8"/>
      <c r="P274" s="8"/>
    </row>
    <row r="275" spans="12:16" s="1" customFormat="1" x14ac:dyDescent="0.25">
      <c r="L275" s="8"/>
      <c r="M275" s="8"/>
      <c r="N275" s="8"/>
      <c r="O275" s="8"/>
      <c r="P275" s="8"/>
    </row>
    <row r="276" spans="12:16" s="1" customFormat="1" x14ac:dyDescent="0.25">
      <c r="L276" s="8"/>
      <c r="M276" s="8"/>
      <c r="N276" s="8"/>
      <c r="O276" s="8"/>
      <c r="P276" s="8"/>
    </row>
    <row r="277" spans="12:16" s="1" customFormat="1" x14ac:dyDescent="0.25">
      <c r="L277" s="8"/>
      <c r="M277" s="8"/>
      <c r="N277" s="8"/>
      <c r="O277" s="8"/>
      <c r="P277" s="8"/>
    </row>
    <row r="278" spans="12:16" s="1" customFormat="1" x14ac:dyDescent="0.25">
      <c r="L278" s="8"/>
      <c r="M278" s="8"/>
      <c r="N278" s="8"/>
      <c r="O278" s="8"/>
      <c r="P278" s="8"/>
    </row>
    <row r="279" spans="12:16" s="1" customFormat="1" x14ac:dyDescent="0.25">
      <c r="L279" s="8"/>
      <c r="M279" s="8"/>
      <c r="N279" s="8"/>
      <c r="O279" s="8"/>
      <c r="P279" s="8"/>
    </row>
    <row r="280" spans="12:16" s="1" customFormat="1" x14ac:dyDescent="0.25">
      <c r="L280" s="8"/>
      <c r="M280" s="8"/>
      <c r="N280" s="8"/>
      <c r="O280" s="8"/>
      <c r="P280" s="8"/>
    </row>
    <row r="281" spans="12:16" s="1" customFormat="1" x14ac:dyDescent="0.25">
      <c r="L281" s="8"/>
      <c r="M281" s="8"/>
      <c r="N281" s="8"/>
      <c r="O281" s="8"/>
      <c r="P281" s="8"/>
    </row>
    <row r="282" spans="12:16" s="1" customFormat="1" x14ac:dyDescent="0.25">
      <c r="L282" s="8"/>
      <c r="M282" s="8"/>
      <c r="N282" s="8"/>
      <c r="O282" s="8"/>
      <c r="P282" s="8"/>
    </row>
    <row r="283" spans="12:16" s="1" customFormat="1" x14ac:dyDescent="0.25">
      <c r="L283" s="8"/>
      <c r="M283" s="8"/>
      <c r="N283" s="8"/>
      <c r="O283" s="8"/>
      <c r="P283" s="8"/>
    </row>
    <row r="284" spans="12:16" s="1" customFormat="1" x14ac:dyDescent="0.25">
      <c r="L284" s="8"/>
      <c r="M284" s="8"/>
      <c r="N284" s="8"/>
      <c r="O284" s="8"/>
      <c r="P284" s="8"/>
    </row>
    <row r="285" spans="12:16" s="1" customFormat="1" x14ac:dyDescent="0.25">
      <c r="L285" s="8"/>
      <c r="M285" s="8"/>
      <c r="N285" s="8"/>
      <c r="O285" s="8"/>
      <c r="P285" s="8"/>
    </row>
    <row r="286" spans="12:16" s="1" customFormat="1" x14ac:dyDescent="0.25">
      <c r="L286" s="8"/>
      <c r="M286" s="8"/>
      <c r="N286" s="8"/>
      <c r="O286" s="8"/>
      <c r="P286" s="8"/>
    </row>
    <row r="287" spans="12:16" s="1" customFormat="1" x14ac:dyDescent="0.25">
      <c r="L287" s="8"/>
      <c r="M287" s="8"/>
      <c r="N287" s="8"/>
      <c r="O287" s="8"/>
      <c r="P287" s="8"/>
    </row>
    <row r="288" spans="12:16" s="1" customFormat="1" x14ac:dyDescent="0.25">
      <c r="L288" s="8"/>
      <c r="M288" s="8"/>
      <c r="N288" s="8"/>
      <c r="O288" s="8"/>
      <c r="P288" s="8"/>
    </row>
    <row r="289" spans="12:16" s="1" customFormat="1" x14ac:dyDescent="0.25">
      <c r="L289" s="8"/>
      <c r="M289" s="8"/>
      <c r="N289" s="8"/>
      <c r="O289" s="8"/>
      <c r="P289" s="8"/>
    </row>
    <row r="290" spans="12:16" s="1" customFormat="1" x14ac:dyDescent="0.25">
      <c r="L290" s="8"/>
      <c r="M290" s="8"/>
      <c r="N290" s="8"/>
      <c r="O290" s="8"/>
      <c r="P290" s="8"/>
    </row>
    <row r="291" spans="12:16" s="1" customFormat="1" x14ac:dyDescent="0.25">
      <c r="L291" s="8"/>
      <c r="M291" s="8"/>
      <c r="N291" s="8"/>
      <c r="O291" s="8"/>
      <c r="P291" s="8"/>
    </row>
    <row r="292" spans="12:16" s="1" customFormat="1" x14ac:dyDescent="0.25">
      <c r="L292" s="8"/>
      <c r="M292" s="8"/>
      <c r="N292" s="8"/>
      <c r="O292" s="8"/>
      <c r="P292" s="8"/>
    </row>
    <row r="293" spans="12:16" s="1" customFormat="1" x14ac:dyDescent="0.25">
      <c r="L293" s="8"/>
      <c r="M293" s="8"/>
      <c r="N293" s="8"/>
      <c r="O293" s="8"/>
      <c r="P293" s="8"/>
    </row>
    <row r="294" spans="12:16" s="1" customFormat="1" x14ac:dyDescent="0.25">
      <c r="L294" s="8"/>
      <c r="M294" s="8"/>
      <c r="N294" s="8"/>
      <c r="O294" s="8"/>
      <c r="P294" s="8"/>
    </row>
    <row r="295" spans="12:16" s="1" customFormat="1" x14ac:dyDescent="0.25">
      <c r="L295" s="8"/>
      <c r="M295" s="8"/>
      <c r="N295" s="8"/>
      <c r="O295" s="8"/>
      <c r="P295" s="8"/>
    </row>
    <row r="296" spans="12:16" s="1" customFormat="1" x14ac:dyDescent="0.25">
      <c r="L296" s="8"/>
      <c r="M296" s="8"/>
      <c r="N296" s="8"/>
      <c r="O296" s="8"/>
      <c r="P296" s="8"/>
    </row>
    <row r="297" spans="12:16" s="1" customFormat="1" x14ac:dyDescent="0.25">
      <c r="L297" s="8"/>
      <c r="M297" s="8"/>
      <c r="N297" s="8"/>
      <c r="O297" s="8"/>
      <c r="P297" s="8"/>
    </row>
    <row r="298" spans="12:16" s="1" customFormat="1" x14ac:dyDescent="0.25">
      <c r="L298" s="8"/>
      <c r="M298" s="8"/>
      <c r="N298" s="8"/>
      <c r="O298" s="8"/>
      <c r="P298" s="8"/>
    </row>
    <row r="299" spans="12:16" s="1" customFormat="1" x14ac:dyDescent="0.25">
      <c r="L299" s="8"/>
      <c r="M299" s="8"/>
      <c r="N299" s="8"/>
      <c r="O299" s="8"/>
      <c r="P299" s="8"/>
    </row>
    <row r="300" spans="12:16" s="1" customFormat="1" x14ac:dyDescent="0.25">
      <c r="L300" s="8"/>
      <c r="M300" s="8"/>
      <c r="N300" s="8"/>
      <c r="O300" s="8"/>
      <c r="P300" s="8"/>
    </row>
    <row r="301" spans="12:16" s="1" customFormat="1" x14ac:dyDescent="0.25">
      <c r="L301" s="8"/>
      <c r="M301" s="8"/>
      <c r="N301" s="8"/>
      <c r="O301" s="8"/>
      <c r="P301" s="8"/>
    </row>
    <row r="302" spans="12:16" s="1" customFormat="1" x14ac:dyDescent="0.25">
      <c r="L302" s="8"/>
      <c r="M302" s="8"/>
      <c r="N302" s="8"/>
      <c r="O302" s="8"/>
      <c r="P302" s="8"/>
    </row>
    <row r="303" spans="12:16" s="1" customFormat="1" x14ac:dyDescent="0.25">
      <c r="L303" s="8"/>
      <c r="M303" s="8"/>
      <c r="N303" s="8"/>
      <c r="O303" s="8"/>
      <c r="P303" s="8"/>
    </row>
    <row r="304" spans="12:16" s="1" customFormat="1" x14ac:dyDescent="0.25">
      <c r="L304" s="8"/>
      <c r="M304" s="8"/>
      <c r="N304" s="8"/>
      <c r="O304" s="8"/>
      <c r="P304" s="8"/>
    </row>
    <row r="305" spans="12:16" s="1" customFormat="1" x14ac:dyDescent="0.25">
      <c r="L305" s="8"/>
      <c r="M305" s="8"/>
      <c r="N305" s="8"/>
      <c r="O305" s="8"/>
      <c r="P305" s="8"/>
    </row>
    <row r="306" spans="12:16" s="1" customFormat="1" x14ac:dyDescent="0.25">
      <c r="L306" s="8"/>
      <c r="M306" s="8"/>
      <c r="N306" s="8"/>
      <c r="O306" s="8"/>
      <c r="P306" s="8"/>
    </row>
    <row r="307" spans="12:16" s="1" customFormat="1" x14ac:dyDescent="0.25">
      <c r="L307" s="8"/>
      <c r="M307" s="8"/>
      <c r="N307" s="8"/>
      <c r="O307" s="8"/>
      <c r="P307" s="8"/>
    </row>
    <row r="308" spans="12:16" s="1" customFormat="1" x14ac:dyDescent="0.25">
      <c r="L308" s="8"/>
      <c r="M308" s="8"/>
      <c r="N308" s="8"/>
      <c r="O308" s="8"/>
      <c r="P308" s="8"/>
    </row>
    <row r="309" spans="12:16" s="1" customFormat="1" x14ac:dyDescent="0.25">
      <c r="L309" s="8"/>
      <c r="M309" s="8"/>
      <c r="N309" s="8"/>
      <c r="O309" s="8"/>
      <c r="P309" s="8"/>
    </row>
    <row r="310" spans="12:16" s="1" customFormat="1" x14ac:dyDescent="0.25">
      <c r="L310" s="8"/>
      <c r="M310" s="8"/>
      <c r="N310" s="8"/>
      <c r="O310" s="8"/>
      <c r="P310" s="8"/>
    </row>
    <row r="311" spans="12:16" s="1" customFormat="1" x14ac:dyDescent="0.25">
      <c r="L311" s="8"/>
      <c r="M311" s="8"/>
      <c r="N311" s="8"/>
      <c r="O311" s="8"/>
      <c r="P311" s="8"/>
    </row>
    <row r="312" spans="12:16" s="1" customFormat="1" x14ac:dyDescent="0.25">
      <c r="L312" s="8"/>
      <c r="M312" s="8"/>
      <c r="N312" s="8"/>
      <c r="O312" s="8"/>
      <c r="P312" s="8"/>
    </row>
    <row r="313" spans="12:16" s="1" customFormat="1" x14ac:dyDescent="0.25">
      <c r="L313" s="8"/>
      <c r="M313" s="8"/>
      <c r="N313" s="8"/>
      <c r="O313" s="8"/>
      <c r="P313" s="8"/>
    </row>
    <row r="314" spans="12:16" s="1" customFormat="1" x14ac:dyDescent="0.25">
      <c r="L314" s="8"/>
      <c r="M314" s="8"/>
      <c r="N314" s="8"/>
      <c r="O314" s="8"/>
      <c r="P314" s="8"/>
    </row>
    <row r="315" spans="12:16" s="1" customFormat="1" x14ac:dyDescent="0.25">
      <c r="L315" s="8"/>
      <c r="M315" s="8"/>
      <c r="N315" s="8"/>
      <c r="O315" s="8"/>
      <c r="P315" s="8"/>
    </row>
    <row r="316" spans="12:16" s="1" customFormat="1" x14ac:dyDescent="0.25">
      <c r="L316" s="8"/>
      <c r="M316" s="8"/>
      <c r="N316" s="8"/>
      <c r="O316" s="8"/>
      <c r="P316" s="8"/>
    </row>
    <row r="317" spans="12:16" s="1" customFormat="1" x14ac:dyDescent="0.25">
      <c r="L317" s="8"/>
      <c r="M317" s="8"/>
      <c r="N317" s="8"/>
      <c r="O317" s="8"/>
      <c r="P317" s="8"/>
    </row>
    <row r="318" spans="12:16" s="1" customFormat="1" x14ac:dyDescent="0.25">
      <c r="L318" s="8"/>
      <c r="M318" s="8"/>
      <c r="N318" s="8"/>
      <c r="O318" s="8"/>
      <c r="P318" s="8"/>
    </row>
    <row r="319" spans="12:16" s="1" customFormat="1" x14ac:dyDescent="0.25">
      <c r="L319" s="8"/>
      <c r="M319" s="8"/>
      <c r="N319" s="8"/>
      <c r="O319" s="8"/>
      <c r="P319" s="8"/>
    </row>
    <row r="320" spans="12:16" s="1" customFormat="1" x14ac:dyDescent="0.25">
      <c r="L320" s="8"/>
      <c r="M320" s="8"/>
      <c r="N320" s="8"/>
      <c r="O320" s="8"/>
      <c r="P320" s="8"/>
    </row>
    <row r="321" spans="12:16" s="1" customFormat="1" x14ac:dyDescent="0.25">
      <c r="L321" s="8"/>
      <c r="M321" s="8"/>
      <c r="N321" s="8"/>
      <c r="O321" s="8"/>
      <c r="P321" s="8"/>
    </row>
    <row r="322" spans="12:16" s="1" customFormat="1" x14ac:dyDescent="0.25">
      <c r="L322" s="8"/>
      <c r="M322" s="8"/>
      <c r="N322" s="8"/>
      <c r="O322" s="8"/>
      <c r="P322" s="8"/>
    </row>
    <row r="323" spans="12:16" s="1" customFormat="1" x14ac:dyDescent="0.25">
      <c r="L323" s="8"/>
      <c r="M323" s="8"/>
      <c r="N323" s="8"/>
      <c r="O323" s="8"/>
      <c r="P323" s="8"/>
    </row>
    <row r="324" spans="12:16" s="1" customFormat="1" x14ac:dyDescent="0.25">
      <c r="L324" s="8"/>
      <c r="M324" s="8"/>
      <c r="N324" s="8"/>
      <c r="O324" s="8"/>
      <c r="P324" s="8"/>
    </row>
    <row r="325" spans="12:16" s="1" customFormat="1" x14ac:dyDescent="0.25">
      <c r="L325" s="8"/>
      <c r="M325" s="8"/>
      <c r="N325" s="8"/>
      <c r="O325" s="8"/>
      <c r="P325" s="8"/>
    </row>
    <row r="326" spans="12:16" s="1" customFormat="1" x14ac:dyDescent="0.25">
      <c r="L326" s="8"/>
      <c r="M326" s="8"/>
      <c r="N326" s="8"/>
      <c r="O326" s="8"/>
      <c r="P326" s="8"/>
    </row>
    <row r="327" spans="12:16" s="1" customFormat="1" x14ac:dyDescent="0.25">
      <c r="L327" s="8"/>
      <c r="M327" s="8"/>
      <c r="N327" s="8"/>
      <c r="O327" s="8"/>
      <c r="P327" s="8"/>
    </row>
    <row r="328" spans="12:16" s="1" customFormat="1" x14ac:dyDescent="0.25">
      <c r="L328" s="8"/>
      <c r="M328" s="8"/>
      <c r="N328" s="8"/>
      <c r="O328" s="8"/>
      <c r="P328" s="8"/>
    </row>
    <row r="329" spans="12:16" s="1" customFormat="1" x14ac:dyDescent="0.25">
      <c r="L329" s="8"/>
      <c r="M329" s="8"/>
      <c r="N329" s="8"/>
      <c r="O329" s="8"/>
      <c r="P329" s="8"/>
    </row>
    <row r="330" spans="12:16" s="1" customFormat="1" x14ac:dyDescent="0.25">
      <c r="L330" s="8"/>
      <c r="M330" s="8"/>
      <c r="N330" s="8"/>
      <c r="O330" s="8"/>
      <c r="P330" s="8"/>
    </row>
    <row r="331" spans="12:16" s="1" customFormat="1" x14ac:dyDescent="0.25">
      <c r="L331" s="8"/>
      <c r="M331" s="8"/>
      <c r="N331" s="8"/>
      <c r="O331" s="8"/>
      <c r="P331" s="8"/>
    </row>
    <row r="332" spans="12:16" s="1" customFormat="1" x14ac:dyDescent="0.25">
      <c r="L332" s="8"/>
      <c r="M332" s="8"/>
      <c r="N332" s="8"/>
      <c r="O332" s="8"/>
      <c r="P332" s="8"/>
    </row>
    <row r="333" spans="12:16" s="1" customFormat="1" x14ac:dyDescent="0.25">
      <c r="L333" s="8"/>
      <c r="M333" s="8"/>
      <c r="N333" s="8"/>
      <c r="O333" s="8"/>
      <c r="P333" s="8"/>
    </row>
    <row r="334" spans="12:16" s="1" customFormat="1" x14ac:dyDescent="0.25">
      <c r="L334" s="8"/>
      <c r="M334" s="8"/>
      <c r="N334" s="8"/>
      <c r="O334" s="8"/>
      <c r="P334" s="8"/>
    </row>
    <row r="335" spans="12:16" s="1" customFormat="1" x14ac:dyDescent="0.25">
      <c r="L335" s="8"/>
      <c r="M335" s="8"/>
      <c r="N335" s="8"/>
      <c r="O335" s="8"/>
      <c r="P335" s="8"/>
    </row>
    <row r="336" spans="12:16" s="1" customFormat="1" x14ac:dyDescent="0.25">
      <c r="L336" s="8"/>
      <c r="M336" s="8"/>
      <c r="N336" s="8"/>
      <c r="O336" s="8"/>
      <c r="P336" s="8"/>
    </row>
    <row r="337" spans="12:16" s="1" customFormat="1" x14ac:dyDescent="0.25">
      <c r="L337" s="8"/>
      <c r="M337" s="8"/>
      <c r="N337" s="8"/>
      <c r="O337" s="8"/>
      <c r="P337" s="8"/>
    </row>
    <row r="338" spans="12:16" s="1" customFormat="1" x14ac:dyDescent="0.25">
      <c r="L338" s="8"/>
      <c r="M338" s="8"/>
      <c r="N338" s="8"/>
      <c r="O338" s="8"/>
      <c r="P338" s="8"/>
    </row>
    <row r="339" spans="12:16" s="1" customFormat="1" x14ac:dyDescent="0.25">
      <c r="L339" s="8"/>
      <c r="M339" s="8"/>
      <c r="N339" s="8"/>
      <c r="O339" s="8"/>
      <c r="P339" s="8"/>
    </row>
    <row r="340" spans="12:16" s="1" customFormat="1" x14ac:dyDescent="0.25">
      <c r="L340" s="8"/>
      <c r="M340" s="8"/>
      <c r="N340" s="8"/>
      <c r="O340" s="8"/>
      <c r="P340" s="8"/>
    </row>
    <row r="341" spans="12:16" s="1" customFormat="1" x14ac:dyDescent="0.25">
      <c r="L341" s="8"/>
      <c r="M341" s="8"/>
      <c r="N341" s="8"/>
      <c r="O341" s="8"/>
      <c r="P341" s="8"/>
    </row>
    <row r="342" spans="12:16" s="1" customFormat="1" x14ac:dyDescent="0.25">
      <c r="L342" s="8"/>
      <c r="M342" s="8"/>
      <c r="N342" s="8"/>
      <c r="O342" s="8"/>
      <c r="P342" s="8"/>
    </row>
    <row r="343" spans="12:16" s="1" customFormat="1" x14ac:dyDescent="0.25">
      <c r="L343" s="8"/>
      <c r="M343" s="8"/>
      <c r="N343" s="8"/>
      <c r="O343" s="8"/>
      <c r="P343" s="8"/>
    </row>
    <row r="344" spans="12:16" s="1" customFormat="1" x14ac:dyDescent="0.25">
      <c r="L344" s="8"/>
      <c r="M344" s="8"/>
      <c r="N344" s="8"/>
      <c r="O344" s="8"/>
      <c r="P344" s="8"/>
    </row>
    <row r="345" spans="12:16" s="1" customFormat="1" x14ac:dyDescent="0.25">
      <c r="L345" s="8"/>
      <c r="M345" s="8"/>
      <c r="N345" s="8"/>
      <c r="O345" s="8"/>
      <c r="P345" s="8"/>
    </row>
    <row r="346" spans="12:16" s="1" customFormat="1" x14ac:dyDescent="0.25">
      <c r="L346" s="8"/>
      <c r="M346" s="8"/>
      <c r="N346" s="8"/>
      <c r="O346" s="8"/>
      <c r="P346" s="8"/>
    </row>
    <row r="347" spans="12:16" s="1" customFormat="1" x14ac:dyDescent="0.25">
      <c r="L347" s="8"/>
      <c r="M347" s="8"/>
      <c r="N347" s="8"/>
      <c r="O347" s="8"/>
      <c r="P347" s="8"/>
    </row>
    <row r="348" spans="12:16" s="1" customFormat="1" x14ac:dyDescent="0.25">
      <c r="L348" s="8"/>
      <c r="M348" s="8"/>
      <c r="N348" s="8"/>
      <c r="O348" s="8"/>
      <c r="P348" s="8"/>
    </row>
    <row r="349" spans="12:16" s="1" customFormat="1" x14ac:dyDescent="0.25">
      <c r="L349" s="8"/>
      <c r="M349" s="8"/>
      <c r="N349" s="8"/>
      <c r="O349" s="8"/>
      <c r="P349" s="8"/>
    </row>
    <row r="350" spans="12:16" s="1" customFormat="1" x14ac:dyDescent="0.25">
      <c r="L350" s="8"/>
      <c r="M350" s="8"/>
      <c r="N350" s="8"/>
      <c r="O350" s="8"/>
      <c r="P350" s="8"/>
    </row>
    <row r="351" spans="12:16" s="1" customFormat="1" x14ac:dyDescent="0.25">
      <c r="L351" s="8"/>
      <c r="M351" s="8"/>
      <c r="N351" s="8"/>
      <c r="O351" s="8"/>
      <c r="P351" s="8"/>
    </row>
    <row r="352" spans="12:16" s="1" customFormat="1" x14ac:dyDescent="0.25">
      <c r="L352" s="8"/>
      <c r="M352" s="8"/>
      <c r="N352" s="8"/>
      <c r="O352" s="8"/>
      <c r="P352" s="8"/>
    </row>
    <row r="353" spans="12:16" s="1" customFormat="1" x14ac:dyDescent="0.25">
      <c r="L353" s="8"/>
      <c r="M353" s="8"/>
      <c r="N353" s="8"/>
      <c r="O353" s="8"/>
      <c r="P353" s="8"/>
    </row>
    <row r="354" spans="12:16" s="1" customFormat="1" x14ac:dyDescent="0.25">
      <c r="L354" s="8"/>
      <c r="M354" s="8"/>
      <c r="N354" s="8"/>
      <c r="O354" s="8"/>
      <c r="P354" s="8"/>
    </row>
    <row r="355" spans="12:16" s="1" customFormat="1" x14ac:dyDescent="0.25">
      <c r="L355" s="8"/>
      <c r="M355" s="8"/>
      <c r="N355" s="8"/>
      <c r="O355" s="8"/>
      <c r="P355" s="8"/>
    </row>
    <row r="356" spans="12:16" s="1" customFormat="1" x14ac:dyDescent="0.25">
      <c r="L356" s="8"/>
      <c r="M356" s="8"/>
      <c r="N356" s="8"/>
      <c r="O356" s="8"/>
      <c r="P356" s="8"/>
    </row>
    <row r="357" spans="12:16" s="1" customFormat="1" x14ac:dyDescent="0.25">
      <c r="L357" s="8"/>
      <c r="M357" s="8"/>
      <c r="N357" s="8"/>
      <c r="O357" s="8"/>
      <c r="P357" s="8"/>
    </row>
    <row r="358" spans="12:16" s="1" customFormat="1" x14ac:dyDescent="0.25">
      <c r="L358" s="8"/>
      <c r="M358" s="8"/>
      <c r="N358" s="8"/>
      <c r="O358" s="8"/>
      <c r="P358" s="8"/>
    </row>
    <row r="359" spans="12:16" s="1" customFormat="1" x14ac:dyDescent="0.25">
      <c r="L359" s="8"/>
      <c r="M359" s="8"/>
      <c r="N359" s="8"/>
      <c r="O359" s="8"/>
      <c r="P359" s="8"/>
    </row>
    <row r="360" spans="12:16" s="1" customFormat="1" x14ac:dyDescent="0.25">
      <c r="L360" s="8"/>
      <c r="M360" s="8"/>
      <c r="N360" s="8"/>
      <c r="O360" s="8"/>
      <c r="P360" s="8"/>
    </row>
    <row r="361" spans="12:16" s="1" customFormat="1" x14ac:dyDescent="0.25">
      <c r="L361" s="8"/>
      <c r="M361" s="8"/>
      <c r="N361" s="8"/>
      <c r="O361" s="8"/>
      <c r="P361" s="8"/>
    </row>
    <row r="362" spans="12:16" s="1" customFormat="1" x14ac:dyDescent="0.25">
      <c r="L362" s="8"/>
      <c r="M362" s="8"/>
      <c r="N362" s="8"/>
      <c r="O362" s="8"/>
      <c r="P362" s="8"/>
    </row>
    <row r="363" spans="12:16" s="1" customFormat="1" x14ac:dyDescent="0.25">
      <c r="L363" s="8"/>
      <c r="M363" s="8"/>
      <c r="N363" s="8"/>
      <c r="O363" s="8"/>
      <c r="P363" s="8"/>
    </row>
    <row r="364" spans="12:16" s="1" customFormat="1" x14ac:dyDescent="0.25">
      <c r="L364" s="8"/>
      <c r="M364" s="8"/>
      <c r="N364" s="8"/>
      <c r="O364" s="8"/>
      <c r="P364" s="8"/>
    </row>
    <row r="365" spans="12:16" s="1" customFormat="1" x14ac:dyDescent="0.25">
      <c r="L365" s="8"/>
      <c r="M365" s="8"/>
      <c r="N365" s="8"/>
      <c r="O365" s="8"/>
      <c r="P365" s="8"/>
    </row>
    <row r="366" spans="12:16" s="1" customFormat="1" x14ac:dyDescent="0.25">
      <c r="L366" s="8"/>
      <c r="M366" s="8"/>
      <c r="N366" s="8"/>
      <c r="O366" s="8"/>
      <c r="P366" s="8"/>
    </row>
    <row r="367" spans="12:16" s="1" customFormat="1" x14ac:dyDescent="0.25">
      <c r="L367" s="8"/>
      <c r="M367" s="8"/>
      <c r="N367" s="8"/>
      <c r="O367" s="8"/>
      <c r="P367" s="8"/>
    </row>
    <row r="368" spans="12:16" s="1" customFormat="1" x14ac:dyDescent="0.25">
      <c r="L368" s="8"/>
      <c r="M368" s="8"/>
      <c r="N368" s="8"/>
      <c r="O368" s="8"/>
      <c r="P368" s="8"/>
    </row>
    <row r="369" spans="12:16" s="1" customFormat="1" x14ac:dyDescent="0.25">
      <c r="L369" s="8"/>
      <c r="M369" s="8"/>
      <c r="N369" s="8"/>
      <c r="O369" s="8"/>
      <c r="P369" s="8"/>
    </row>
    <row r="370" spans="12:16" s="1" customFormat="1" x14ac:dyDescent="0.25">
      <c r="L370" s="8"/>
      <c r="M370" s="8"/>
      <c r="N370" s="8"/>
      <c r="O370" s="8"/>
      <c r="P370" s="8"/>
    </row>
    <row r="371" spans="12:16" s="1" customFormat="1" x14ac:dyDescent="0.25">
      <c r="L371" s="8"/>
      <c r="M371" s="8"/>
      <c r="N371" s="8"/>
      <c r="O371" s="8"/>
      <c r="P371" s="8"/>
    </row>
    <row r="372" spans="12:16" s="1" customFormat="1" x14ac:dyDescent="0.25">
      <c r="L372" s="8"/>
      <c r="M372" s="8"/>
      <c r="N372" s="8"/>
      <c r="O372" s="8"/>
      <c r="P372" s="8"/>
    </row>
    <row r="373" spans="12:16" s="1" customFormat="1" x14ac:dyDescent="0.25">
      <c r="L373" s="8"/>
      <c r="M373" s="8"/>
      <c r="N373" s="8"/>
      <c r="O373" s="8"/>
      <c r="P373" s="8"/>
    </row>
    <row r="374" spans="12:16" s="1" customFormat="1" x14ac:dyDescent="0.25">
      <c r="L374" s="8"/>
      <c r="M374" s="8"/>
      <c r="N374" s="8"/>
      <c r="O374" s="8"/>
      <c r="P374" s="8"/>
    </row>
    <row r="375" spans="12:16" s="1" customFormat="1" x14ac:dyDescent="0.25">
      <c r="L375" s="8"/>
      <c r="M375" s="8"/>
      <c r="N375" s="8"/>
      <c r="O375" s="8"/>
      <c r="P375" s="8"/>
    </row>
    <row r="376" spans="12:16" s="1" customFormat="1" x14ac:dyDescent="0.25">
      <c r="L376" s="8"/>
      <c r="M376" s="8"/>
      <c r="N376" s="8"/>
      <c r="O376" s="8"/>
      <c r="P376" s="8"/>
    </row>
    <row r="377" spans="12:16" s="1" customFormat="1" x14ac:dyDescent="0.25">
      <c r="L377" s="8"/>
      <c r="M377" s="8"/>
      <c r="N377" s="8"/>
      <c r="O377" s="8"/>
      <c r="P377" s="8"/>
    </row>
    <row r="378" spans="12:16" s="1" customFormat="1" x14ac:dyDescent="0.25">
      <c r="L378" s="8"/>
      <c r="M378" s="8"/>
      <c r="N378" s="8"/>
      <c r="O378" s="8"/>
      <c r="P378" s="8"/>
    </row>
    <row r="379" spans="12:16" s="1" customFormat="1" x14ac:dyDescent="0.25">
      <c r="L379" s="8"/>
      <c r="M379" s="8"/>
      <c r="N379" s="8"/>
      <c r="O379" s="8"/>
      <c r="P379" s="8"/>
    </row>
    <row r="380" spans="12:16" s="1" customFormat="1" x14ac:dyDescent="0.25">
      <c r="L380" s="8"/>
      <c r="M380" s="8"/>
      <c r="N380" s="8"/>
      <c r="O380" s="8"/>
      <c r="P380" s="8"/>
    </row>
    <row r="381" spans="12:16" s="1" customFormat="1" x14ac:dyDescent="0.25">
      <c r="L381" s="8"/>
      <c r="M381" s="8"/>
      <c r="N381" s="8"/>
      <c r="O381" s="8"/>
      <c r="P381" s="8"/>
    </row>
    <row r="382" spans="12:16" s="1" customFormat="1" x14ac:dyDescent="0.25">
      <c r="L382" s="8"/>
      <c r="M382" s="8"/>
      <c r="N382" s="8"/>
      <c r="O382" s="8"/>
      <c r="P382" s="8"/>
    </row>
    <row r="383" spans="12:16" s="1" customFormat="1" x14ac:dyDescent="0.25">
      <c r="L383" s="8"/>
      <c r="M383" s="8"/>
      <c r="N383" s="8"/>
      <c r="O383" s="8"/>
      <c r="P383" s="8"/>
    </row>
    <row r="384" spans="12:16" s="1" customFormat="1" x14ac:dyDescent="0.25">
      <c r="L384" s="8"/>
      <c r="M384" s="8"/>
      <c r="N384" s="8"/>
      <c r="O384" s="8"/>
      <c r="P384" s="8"/>
    </row>
    <row r="385" spans="12:16" s="1" customFormat="1" x14ac:dyDescent="0.25">
      <c r="L385" s="8"/>
      <c r="M385" s="8"/>
      <c r="N385" s="8"/>
      <c r="O385" s="8"/>
      <c r="P385" s="8"/>
    </row>
    <row r="386" spans="12:16" s="1" customFormat="1" x14ac:dyDescent="0.25">
      <c r="L386" s="8"/>
      <c r="M386" s="8"/>
      <c r="N386" s="8"/>
      <c r="O386" s="8"/>
      <c r="P386" s="8"/>
    </row>
    <row r="387" spans="12:16" s="1" customFormat="1" x14ac:dyDescent="0.25">
      <c r="L387" s="8"/>
      <c r="M387" s="8"/>
      <c r="N387" s="8"/>
      <c r="O387" s="8"/>
      <c r="P387" s="8"/>
    </row>
    <row r="388" spans="12:16" s="1" customFormat="1" x14ac:dyDescent="0.25">
      <c r="L388" s="8"/>
      <c r="M388" s="8"/>
      <c r="N388" s="8"/>
      <c r="O388" s="8"/>
      <c r="P388" s="8"/>
    </row>
    <row r="389" spans="12:16" s="1" customFormat="1" x14ac:dyDescent="0.25">
      <c r="L389" s="8"/>
      <c r="M389" s="8"/>
      <c r="N389" s="8"/>
      <c r="O389" s="8"/>
      <c r="P389" s="8"/>
    </row>
    <row r="390" spans="12:16" s="1" customFormat="1" x14ac:dyDescent="0.25">
      <c r="L390" s="8"/>
      <c r="M390" s="8"/>
      <c r="N390" s="8"/>
      <c r="O390" s="8"/>
      <c r="P390" s="8"/>
    </row>
    <row r="391" spans="12:16" s="1" customFormat="1" x14ac:dyDescent="0.25">
      <c r="L391" s="8"/>
      <c r="M391" s="8"/>
      <c r="N391" s="8"/>
      <c r="O391" s="8"/>
      <c r="P391" s="8"/>
    </row>
    <row r="392" spans="12:16" s="1" customFormat="1" x14ac:dyDescent="0.25">
      <c r="L392" s="8"/>
      <c r="M392" s="8"/>
      <c r="N392" s="8"/>
      <c r="O392" s="8"/>
      <c r="P392" s="8"/>
    </row>
    <row r="393" spans="12:16" s="1" customFormat="1" x14ac:dyDescent="0.25">
      <c r="L393" s="8"/>
      <c r="M393" s="8"/>
      <c r="N393" s="8"/>
      <c r="O393" s="8"/>
      <c r="P393" s="8"/>
    </row>
    <row r="394" spans="12:16" s="1" customFormat="1" x14ac:dyDescent="0.25">
      <c r="L394" s="8"/>
      <c r="M394" s="8"/>
      <c r="N394" s="8"/>
      <c r="O394" s="8"/>
      <c r="P394" s="8"/>
    </row>
    <row r="395" spans="12:16" s="1" customFormat="1" x14ac:dyDescent="0.25">
      <c r="L395" s="8"/>
      <c r="M395" s="8"/>
      <c r="N395" s="8"/>
      <c r="O395" s="8"/>
      <c r="P395" s="8"/>
    </row>
    <row r="396" spans="12:16" s="1" customFormat="1" x14ac:dyDescent="0.25">
      <c r="L396" s="8"/>
      <c r="M396" s="8"/>
      <c r="N396" s="8"/>
      <c r="O396" s="8"/>
      <c r="P396" s="8"/>
    </row>
    <row r="397" spans="12:16" s="1" customFormat="1" x14ac:dyDescent="0.25">
      <c r="L397" s="8"/>
      <c r="M397" s="8"/>
      <c r="N397" s="8"/>
      <c r="O397" s="8"/>
      <c r="P397" s="8"/>
    </row>
    <row r="398" spans="12:16" s="1" customFormat="1" x14ac:dyDescent="0.25">
      <c r="L398" s="8"/>
      <c r="M398" s="8"/>
      <c r="N398" s="8"/>
      <c r="O398" s="8"/>
      <c r="P398" s="8"/>
    </row>
    <row r="399" spans="12:16" s="1" customFormat="1" x14ac:dyDescent="0.25">
      <c r="L399" s="8"/>
      <c r="M399" s="8"/>
      <c r="N399" s="8"/>
      <c r="O399" s="8"/>
      <c r="P399" s="8"/>
    </row>
    <row r="400" spans="12:16" s="1" customFormat="1" x14ac:dyDescent="0.25">
      <c r="L400" s="8"/>
      <c r="M400" s="8"/>
      <c r="N400" s="8"/>
      <c r="O400" s="8"/>
      <c r="P400" s="8"/>
    </row>
    <row r="401" spans="12:16" s="1" customFormat="1" x14ac:dyDescent="0.25">
      <c r="L401" s="8"/>
      <c r="M401" s="8"/>
      <c r="N401" s="8"/>
      <c r="O401" s="8"/>
      <c r="P401" s="8"/>
    </row>
    <row r="402" spans="12:16" s="1" customFormat="1" x14ac:dyDescent="0.25">
      <c r="L402" s="8"/>
      <c r="M402" s="8"/>
      <c r="N402" s="8"/>
      <c r="O402" s="8"/>
      <c r="P402" s="8"/>
    </row>
    <row r="403" spans="12:16" s="1" customFormat="1" x14ac:dyDescent="0.25">
      <c r="L403" s="8"/>
      <c r="M403" s="8"/>
      <c r="N403" s="8"/>
      <c r="O403" s="8"/>
      <c r="P403" s="8"/>
    </row>
    <row r="404" spans="12:16" s="1" customFormat="1" x14ac:dyDescent="0.25">
      <c r="L404" s="8"/>
      <c r="M404" s="8"/>
      <c r="N404" s="8"/>
      <c r="O404" s="8"/>
      <c r="P404" s="8"/>
    </row>
    <row r="405" spans="12:16" s="1" customFormat="1" x14ac:dyDescent="0.25">
      <c r="L405" s="8"/>
      <c r="M405" s="8"/>
      <c r="N405" s="8"/>
      <c r="O405" s="8"/>
      <c r="P405" s="8"/>
    </row>
    <row r="406" spans="12:16" s="1" customFormat="1" x14ac:dyDescent="0.25">
      <c r="L406" s="8"/>
      <c r="M406" s="8"/>
      <c r="N406" s="8"/>
      <c r="O406" s="8"/>
      <c r="P406" s="8"/>
    </row>
    <row r="407" spans="12:16" s="1" customFormat="1" x14ac:dyDescent="0.25">
      <c r="L407" s="8"/>
      <c r="M407" s="8"/>
      <c r="N407" s="8"/>
      <c r="O407" s="8"/>
      <c r="P407" s="8"/>
    </row>
    <row r="408" spans="12:16" s="1" customFormat="1" x14ac:dyDescent="0.25">
      <c r="L408" s="8"/>
      <c r="M408" s="8"/>
      <c r="N408" s="8"/>
      <c r="O408" s="8"/>
      <c r="P408" s="8"/>
    </row>
    <row r="409" spans="12:16" s="1" customFormat="1" x14ac:dyDescent="0.25">
      <c r="L409" s="8"/>
      <c r="M409" s="8"/>
      <c r="N409" s="8"/>
      <c r="O409" s="8"/>
      <c r="P409" s="8"/>
    </row>
    <row r="410" spans="12:16" s="1" customFormat="1" x14ac:dyDescent="0.25">
      <c r="L410" s="8"/>
      <c r="M410" s="8"/>
      <c r="N410" s="8"/>
      <c r="O410" s="8"/>
      <c r="P410" s="8"/>
    </row>
    <row r="411" spans="12:16" s="1" customFormat="1" x14ac:dyDescent="0.25">
      <c r="L411" s="8"/>
      <c r="M411" s="8"/>
      <c r="N411" s="8"/>
      <c r="O411" s="8"/>
      <c r="P411" s="8"/>
    </row>
    <row r="412" spans="12:16" s="1" customFormat="1" x14ac:dyDescent="0.25">
      <c r="L412" s="8"/>
      <c r="M412" s="8"/>
      <c r="N412" s="8"/>
      <c r="O412" s="8"/>
      <c r="P412" s="8"/>
    </row>
    <row r="413" spans="12:16" s="1" customFormat="1" x14ac:dyDescent="0.25">
      <c r="L413" s="8"/>
      <c r="M413" s="8"/>
      <c r="N413" s="8"/>
      <c r="O413" s="8"/>
      <c r="P413" s="8"/>
    </row>
    <row r="414" spans="12:16" s="1" customFormat="1" x14ac:dyDescent="0.25">
      <c r="L414" s="8"/>
      <c r="M414" s="8"/>
      <c r="N414" s="8"/>
      <c r="O414" s="8"/>
      <c r="P414" s="8"/>
    </row>
    <row r="415" spans="12:16" s="1" customFormat="1" x14ac:dyDescent="0.25">
      <c r="L415" s="8"/>
      <c r="M415" s="8"/>
      <c r="N415" s="8"/>
      <c r="O415" s="8"/>
      <c r="P415" s="8"/>
    </row>
    <row r="416" spans="12:16" s="1" customFormat="1" x14ac:dyDescent="0.25">
      <c r="L416" s="8"/>
      <c r="M416" s="8"/>
      <c r="N416" s="8"/>
      <c r="O416" s="8"/>
      <c r="P416" s="8"/>
    </row>
    <row r="417" spans="12:16" s="1" customFormat="1" x14ac:dyDescent="0.25">
      <c r="L417" s="8"/>
      <c r="M417" s="8"/>
      <c r="N417" s="8"/>
      <c r="O417" s="8"/>
      <c r="P417" s="8"/>
    </row>
    <row r="418" spans="12:16" s="1" customFormat="1" x14ac:dyDescent="0.25">
      <c r="L418" s="8"/>
      <c r="M418" s="8"/>
      <c r="N418" s="8"/>
      <c r="O418" s="8"/>
      <c r="P418" s="8"/>
    </row>
    <row r="419" spans="12:16" s="1" customFormat="1" x14ac:dyDescent="0.25">
      <c r="L419" s="8"/>
      <c r="M419" s="8"/>
      <c r="N419" s="8"/>
      <c r="O419" s="8"/>
      <c r="P419" s="8"/>
    </row>
    <row r="420" spans="12:16" s="1" customFormat="1" x14ac:dyDescent="0.25">
      <c r="L420" s="8"/>
      <c r="M420" s="8"/>
      <c r="N420" s="8"/>
      <c r="O420" s="8"/>
      <c r="P420" s="8"/>
    </row>
    <row r="421" spans="12:16" s="1" customFormat="1" x14ac:dyDescent="0.25">
      <c r="L421" s="8"/>
      <c r="M421" s="8"/>
      <c r="N421" s="8"/>
      <c r="O421" s="8"/>
      <c r="P421" s="8"/>
    </row>
    <row r="422" spans="12:16" s="1" customFormat="1" x14ac:dyDescent="0.25">
      <c r="L422" s="8"/>
      <c r="M422" s="8"/>
      <c r="N422" s="8"/>
      <c r="O422" s="8"/>
      <c r="P422" s="8"/>
    </row>
    <row r="423" spans="12:16" s="1" customFormat="1" x14ac:dyDescent="0.25">
      <c r="L423" s="8"/>
      <c r="M423" s="8"/>
      <c r="N423" s="8"/>
      <c r="O423" s="8"/>
      <c r="P423" s="8"/>
    </row>
    <row r="424" spans="12:16" s="1" customFormat="1" x14ac:dyDescent="0.25">
      <c r="L424" s="8"/>
      <c r="M424" s="8"/>
      <c r="N424" s="8"/>
      <c r="O424" s="8"/>
      <c r="P424" s="8"/>
    </row>
    <row r="425" spans="12:16" s="1" customFormat="1" x14ac:dyDescent="0.25">
      <c r="L425" s="8"/>
      <c r="M425" s="8"/>
      <c r="N425" s="8"/>
      <c r="O425" s="8"/>
      <c r="P425" s="8"/>
    </row>
    <row r="426" spans="12:16" s="1" customFormat="1" x14ac:dyDescent="0.25">
      <c r="L426" s="8"/>
      <c r="M426" s="8"/>
      <c r="N426" s="8"/>
      <c r="O426" s="8"/>
      <c r="P426" s="8"/>
    </row>
    <row r="427" spans="12:16" s="1" customFormat="1" x14ac:dyDescent="0.25">
      <c r="L427" s="8"/>
      <c r="M427" s="8"/>
      <c r="N427" s="8"/>
      <c r="O427" s="8"/>
      <c r="P427" s="8"/>
    </row>
    <row r="428" spans="12:16" s="1" customFormat="1" x14ac:dyDescent="0.25">
      <c r="L428" s="8"/>
      <c r="M428" s="8"/>
      <c r="N428" s="8"/>
      <c r="O428" s="8"/>
      <c r="P428" s="8"/>
    </row>
    <row r="429" spans="12:16" s="1" customFormat="1" x14ac:dyDescent="0.25">
      <c r="L429" s="8"/>
      <c r="M429" s="8"/>
      <c r="N429" s="8"/>
      <c r="O429" s="8"/>
      <c r="P429" s="8"/>
    </row>
    <row r="430" spans="12:16" s="1" customFormat="1" x14ac:dyDescent="0.25">
      <c r="L430" s="8"/>
      <c r="M430" s="8"/>
      <c r="N430" s="8"/>
      <c r="O430" s="8"/>
      <c r="P430" s="8"/>
    </row>
    <row r="431" spans="12:16" s="1" customFormat="1" x14ac:dyDescent="0.25">
      <c r="L431" s="8"/>
      <c r="M431" s="8"/>
      <c r="N431" s="8"/>
      <c r="O431" s="8"/>
      <c r="P431" s="8"/>
    </row>
    <row r="432" spans="12:16" s="1" customFormat="1" x14ac:dyDescent="0.25">
      <c r="L432" s="8"/>
      <c r="M432" s="8"/>
      <c r="N432" s="8"/>
      <c r="O432" s="8"/>
      <c r="P432" s="8"/>
    </row>
    <row r="433" spans="12:16" s="1" customFormat="1" x14ac:dyDescent="0.25">
      <c r="L433" s="8"/>
      <c r="M433" s="8"/>
      <c r="N433" s="8"/>
      <c r="O433" s="8"/>
      <c r="P433" s="8"/>
    </row>
    <row r="434" spans="12:16" s="1" customFormat="1" x14ac:dyDescent="0.25">
      <c r="L434" s="8"/>
      <c r="M434" s="8"/>
      <c r="N434" s="8"/>
      <c r="O434" s="8"/>
      <c r="P434" s="8"/>
    </row>
    <row r="435" spans="12:16" s="1" customFormat="1" x14ac:dyDescent="0.25">
      <c r="L435" s="8"/>
      <c r="M435" s="8"/>
      <c r="N435" s="8"/>
      <c r="O435" s="8"/>
      <c r="P435" s="8"/>
    </row>
    <row r="436" spans="12:16" s="1" customFormat="1" x14ac:dyDescent="0.25">
      <c r="L436" s="8"/>
      <c r="M436" s="8"/>
      <c r="N436" s="8"/>
      <c r="O436" s="8"/>
      <c r="P436" s="8"/>
    </row>
    <row r="437" spans="12:16" s="1" customFormat="1" x14ac:dyDescent="0.25">
      <c r="L437" s="8"/>
      <c r="M437" s="8"/>
      <c r="N437" s="8"/>
      <c r="O437" s="8"/>
      <c r="P437" s="8"/>
    </row>
    <row r="438" spans="12:16" s="1" customFormat="1" x14ac:dyDescent="0.25">
      <c r="L438" s="8"/>
      <c r="M438" s="8"/>
      <c r="N438" s="8"/>
      <c r="O438" s="8"/>
      <c r="P438" s="8"/>
    </row>
    <row r="439" spans="12:16" s="1" customFormat="1" x14ac:dyDescent="0.25">
      <c r="L439" s="8"/>
      <c r="M439" s="8"/>
      <c r="N439" s="8"/>
      <c r="O439" s="8"/>
      <c r="P439" s="8"/>
    </row>
    <row r="440" spans="12:16" s="1" customFormat="1" x14ac:dyDescent="0.25">
      <c r="L440" s="8"/>
      <c r="M440" s="8"/>
      <c r="N440" s="8"/>
      <c r="O440" s="8"/>
      <c r="P440" s="8"/>
    </row>
    <row r="441" spans="12:16" s="1" customFormat="1" x14ac:dyDescent="0.25">
      <c r="L441" s="8"/>
      <c r="M441" s="8"/>
      <c r="N441" s="8"/>
      <c r="O441" s="8"/>
      <c r="P441" s="8"/>
    </row>
    <row r="442" spans="12:16" s="1" customFormat="1" x14ac:dyDescent="0.25">
      <c r="L442" s="8"/>
      <c r="M442" s="8"/>
      <c r="N442" s="8"/>
      <c r="O442" s="8"/>
      <c r="P442" s="8"/>
    </row>
    <row r="443" spans="12:16" s="1" customFormat="1" x14ac:dyDescent="0.25">
      <c r="L443" s="8"/>
      <c r="M443" s="8"/>
      <c r="N443" s="8"/>
      <c r="O443" s="8"/>
      <c r="P443" s="8"/>
    </row>
    <row r="444" spans="12:16" s="1" customFormat="1" x14ac:dyDescent="0.25">
      <c r="L444" s="8"/>
      <c r="M444" s="8"/>
      <c r="N444" s="8"/>
      <c r="O444" s="8"/>
      <c r="P444" s="8"/>
    </row>
    <row r="445" spans="12:16" s="1" customFormat="1" x14ac:dyDescent="0.25">
      <c r="L445" s="8"/>
      <c r="M445" s="8"/>
      <c r="N445" s="8"/>
      <c r="O445" s="8"/>
      <c r="P445" s="8"/>
    </row>
    <row r="446" spans="12:16" s="1" customFormat="1" x14ac:dyDescent="0.25">
      <c r="L446" s="8"/>
      <c r="M446" s="8"/>
      <c r="N446" s="8"/>
      <c r="O446" s="8"/>
      <c r="P446" s="8"/>
    </row>
    <row r="447" spans="12:16" s="1" customFormat="1" x14ac:dyDescent="0.25">
      <c r="L447" s="8"/>
      <c r="M447" s="8"/>
      <c r="N447" s="8"/>
      <c r="O447" s="8"/>
      <c r="P447" s="8"/>
    </row>
    <row r="448" spans="12:16" s="1" customFormat="1" x14ac:dyDescent="0.25">
      <c r="L448" s="8"/>
      <c r="M448" s="8"/>
      <c r="N448" s="8"/>
      <c r="O448" s="8"/>
      <c r="P448" s="8"/>
    </row>
    <row r="449" spans="12:16" s="1" customFormat="1" x14ac:dyDescent="0.25">
      <c r="L449" s="8"/>
      <c r="M449" s="8"/>
      <c r="N449" s="8"/>
      <c r="O449" s="8"/>
      <c r="P449" s="8"/>
    </row>
    <row r="450" spans="12:16" s="1" customFormat="1" x14ac:dyDescent="0.25">
      <c r="L450" s="8"/>
      <c r="M450" s="8"/>
      <c r="N450" s="8"/>
      <c r="O450" s="8"/>
      <c r="P450" s="8"/>
    </row>
    <row r="451" spans="12:16" s="1" customFormat="1" x14ac:dyDescent="0.25">
      <c r="L451" s="8"/>
      <c r="M451" s="8"/>
      <c r="N451" s="8"/>
      <c r="O451" s="8"/>
      <c r="P451" s="8"/>
    </row>
    <row r="452" spans="12:16" s="1" customFormat="1" x14ac:dyDescent="0.25">
      <c r="L452" s="8"/>
      <c r="M452" s="8"/>
      <c r="N452" s="8"/>
      <c r="O452" s="8"/>
      <c r="P452" s="8"/>
    </row>
    <row r="453" spans="12:16" s="1" customFormat="1" x14ac:dyDescent="0.25">
      <c r="L453" s="8"/>
      <c r="M453" s="8"/>
      <c r="N453" s="8"/>
      <c r="O453" s="8"/>
      <c r="P453" s="8"/>
    </row>
    <row r="454" spans="12:16" s="1" customFormat="1" x14ac:dyDescent="0.25">
      <c r="L454" s="8"/>
      <c r="M454" s="8"/>
      <c r="N454" s="8"/>
      <c r="O454" s="8"/>
      <c r="P454" s="8"/>
    </row>
    <row r="455" spans="12:16" s="1" customFormat="1" x14ac:dyDescent="0.25">
      <c r="L455" s="8"/>
      <c r="M455" s="8"/>
      <c r="N455" s="8"/>
      <c r="O455" s="8"/>
      <c r="P455" s="8"/>
    </row>
    <row r="456" spans="12:16" s="1" customFormat="1" x14ac:dyDescent="0.25">
      <c r="L456" s="8"/>
      <c r="M456" s="8"/>
      <c r="N456" s="8"/>
      <c r="O456" s="8"/>
      <c r="P456" s="8"/>
    </row>
    <row r="457" spans="12:16" s="1" customFormat="1" x14ac:dyDescent="0.25">
      <c r="L457" s="8"/>
      <c r="M457" s="8"/>
      <c r="N457" s="8"/>
      <c r="O457" s="8"/>
      <c r="P457" s="8"/>
    </row>
    <row r="458" spans="12:16" s="1" customFormat="1" x14ac:dyDescent="0.25">
      <c r="L458" s="8"/>
      <c r="M458" s="8"/>
      <c r="N458" s="8"/>
      <c r="O458" s="8"/>
      <c r="P458" s="8"/>
    </row>
    <row r="459" spans="12:16" s="1" customFormat="1" x14ac:dyDescent="0.25">
      <c r="L459" s="8"/>
      <c r="M459" s="8"/>
      <c r="N459" s="8"/>
      <c r="O459" s="8"/>
      <c r="P459" s="8"/>
    </row>
    <row r="460" spans="12:16" s="1" customFormat="1" x14ac:dyDescent="0.25">
      <c r="L460" s="8"/>
      <c r="M460" s="8"/>
      <c r="N460" s="8"/>
      <c r="O460" s="8"/>
      <c r="P460" s="8"/>
    </row>
    <row r="461" spans="12:16" s="1" customFormat="1" x14ac:dyDescent="0.25">
      <c r="L461" s="8"/>
      <c r="M461" s="8"/>
      <c r="N461" s="8"/>
      <c r="O461" s="8"/>
      <c r="P461" s="8"/>
    </row>
    <row r="462" spans="12:16" s="1" customFormat="1" x14ac:dyDescent="0.25">
      <c r="L462" s="8"/>
      <c r="M462" s="8"/>
      <c r="N462" s="8"/>
      <c r="O462" s="8"/>
      <c r="P462" s="8"/>
    </row>
    <row r="463" spans="12:16" s="1" customFormat="1" x14ac:dyDescent="0.25">
      <c r="L463" s="8"/>
      <c r="M463" s="8"/>
      <c r="N463" s="8"/>
      <c r="O463" s="8"/>
      <c r="P463" s="8"/>
    </row>
    <row r="464" spans="12:16" s="1" customFormat="1" x14ac:dyDescent="0.25">
      <c r="L464" s="8"/>
      <c r="M464" s="8"/>
      <c r="N464" s="8"/>
      <c r="O464" s="8"/>
      <c r="P464" s="8"/>
    </row>
    <row r="465" spans="12:16" s="1" customFormat="1" x14ac:dyDescent="0.25">
      <c r="L465" s="8"/>
      <c r="M465" s="8"/>
      <c r="N465" s="8"/>
      <c r="O465" s="8"/>
      <c r="P465" s="8"/>
    </row>
    <row r="466" spans="12:16" s="1" customFormat="1" x14ac:dyDescent="0.25">
      <c r="L466" s="8"/>
      <c r="M466" s="8"/>
      <c r="N466" s="8"/>
      <c r="O466" s="8"/>
      <c r="P466" s="8"/>
    </row>
    <row r="467" spans="12:16" s="1" customFormat="1" x14ac:dyDescent="0.25">
      <c r="L467" s="8"/>
      <c r="M467" s="8"/>
      <c r="N467" s="8"/>
      <c r="O467" s="8"/>
      <c r="P467" s="8"/>
    </row>
    <row r="468" spans="12:16" s="1" customFormat="1" x14ac:dyDescent="0.25">
      <c r="L468" s="8"/>
      <c r="M468" s="8"/>
      <c r="N468" s="8"/>
      <c r="O468" s="8"/>
      <c r="P468" s="8"/>
    </row>
    <row r="469" spans="12:16" s="1" customFormat="1" x14ac:dyDescent="0.25">
      <c r="L469" s="8"/>
      <c r="M469" s="8"/>
      <c r="N469" s="8"/>
      <c r="O469" s="8"/>
      <c r="P469" s="8"/>
    </row>
    <row r="470" spans="12:16" s="1" customFormat="1" x14ac:dyDescent="0.25">
      <c r="L470" s="8"/>
      <c r="M470" s="8"/>
      <c r="N470" s="8"/>
      <c r="O470" s="8"/>
      <c r="P470" s="8"/>
    </row>
    <row r="471" spans="12:16" s="1" customFormat="1" x14ac:dyDescent="0.25">
      <c r="L471" s="8"/>
      <c r="M471" s="8"/>
      <c r="N471" s="8"/>
      <c r="O471" s="8"/>
      <c r="P471" s="8"/>
    </row>
    <row r="472" spans="12:16" s="1" customFormat="1" x14ac:dyDescent="0.25">
      <c r="L472" s="8"/>
      <c r="M472" s="8"/>
      <c r="N472" s="8"/>
      <c r="O472" s="8"/>
      <c r="P472" s="8"/>
    </row>
    <row r="473" spans="12:16" s="1" customFormat="1" x14ac:dyDescent="0.25">
      <c r="L473" s="8"/>
      <c r="M473" s="8"/>
      <c r="N473" s="8"/>
      <c r="O473" s="8"/>
      <c r="P473" s="8"/>
    </row>
    <row r="474" spans="12:16" s="1" customFormat="1" x14ac:dyDescent="0.25">
      <c r="L474" s="8"/>
      <c r="M474" s="8"/>
      <c r="N474" s="8"/>
      <c r="O474" s="8"/>
      <c r="P474" s="8"/>
    </row>
    <row r="475" spans="12:16" s="1" customFormat="1" x14ac:dyDescent="0.25">
      <c r="L475" s="8"/>
      <c r="M475" s="8"/>
      <c r="N475" s="8"/>
      <c r="O475" s="8"/>
      <c r="P475" s="8"/>
    </row>
    <row r="476" spans="12:16" s="1" customFormat="1" x14ac:dyDescent="0.25">
      <c r="L476" s="8"/>
      <c r="M476" s="8"/>
      <c r="N476" s="8"/>
      <c r="O476" s="8"/>
      <c r="P476" s="8"/>
    </row>
    <row r="477" spans="12:16" s="1" customFormat="1" x14ac:dyDescent="0.25">
      <c r="L477" s="8"/>
      <c r="M477" s="8"/>
      <c r="N477" s="8"/>
      <c r="O477" s="8"/>
      <c r="P477" s="8"/>
    </row>
    <row r="478" spans="12:16" s="1" customFormat="1" x14ac:dyDescent="0.25">
      <c r="L478" s="8"/>
      <c r="M478" s="8"/>
      <c r="N478" s="8"/>
      <c r="O478" s="8"/>
      <c r="P478" s="8"/>
    </row>
    <row r="479" spans="12:16" s="1" customFormat="1" x14ac:dyDescent="0.25">
      <c r="L479" s="8"/>
      <c r="M479" s="8"/>
      <c r="N479" s="8"/>
      <c r="O479" s="8"/>
      <c r="P479" s="8"/>
    </row>
    <row r="480" spans="12:16" s="1" customFormat="1" x14ac:dyDescent="0.25">
      <c r="L480" s="8"/>
      <c r="M480" s="8"/>
      <c r="N480" s="8"/>
      <c r="O480" s="8"/>
      <c r="P480" s="8"/>
    </row>
    <row r="481" spans="12:16" s="1" customFormat="1" x14ac:dyDescent="0.25">
      <c r="L481" s="8"/>
      <c r="M481" s="8"/>
      <c r="N481" s="8"/>
      <c r="O481" s="8"/>
      <c r="P481" s="8"/>
    </row>
    <row r="482" spans="12:16" s="1" customFormat="1" x14ac:dyDescent="0.25">
      <c r="L482" s="8"/>
      <c r="M482" s="8"/>
      <c r="N482" s="8"/>
      <c r="O482" s="8"/>
      <c r="P482" s="8"/>
    </row>
    <row r="483" spans="12:16" s="1" customFormat="1" x14ac:dyDescent="0.25">
      <c r="L483" s="8"/>
      <c r="M483" s="8"/>
      <c r="N483" s="8"/>
      <c r="O483" s="8"/>
      <c r="P483" s="8"/>
    </row>
    <row r="484" spans="12:16" s="1" customFormat="1" x14ac:dyDescent="0.25">
      <c r="L484" s="8"/>
      <c r="M484" s="8"/>
      <c r="N484" s="8"/>
      <c r="O484" s="8"/>
      <c r="P484" s="8"/>
    </row>
    <row r="485" spans="12:16" s="1" customFormat="1" x14ac:dyDescent="0.25">
      <c r="L485" s="8"/>
      <c r="M485" s="8"/>
      <c r="N485" s="8"/>
      <c r="O485" s="8"/>
      <c r="P485" s="8"/>
    </row>
    <row r="486" spans="12:16" s="1" customFormat="1" x14ac:dyDescent="0.25">
      <c r="L486" s="8"/>
      <c r="M486" s="8"/>
      <c r="N486" s="8"/>
      <c r="O486" s="8"/>
      <c r="P486" s="8"/>
    </row>
    <row r="487" spans="12:16" s="1" customFormat="1" x14ac:dyDescent="0.25">
      <c r="L487" s="8"/>
      <c r="M487" s="8"/>
      <c r="N487" s="8"/>
      <c r="O487" s="8"/>
      <c r="P487" s="8"/>
    </row>
    <row r="488" spans="12:16" s="1" customFormat="1" x14ac:dyDescent="0.25">
      <c r="L488" s="8"/>
      <c r="M488" s="8"/>
      <c r="N488" s="8"/>
      <c r="O488" s="8"/>
      <c r="P488" s="8"/>
    </row>
    <row r="489" spans="12:16" s="1" customFormat="1" x14ac:dyDescent="0.25">
      <c r="L489" s="8"/>
      <c r="M489" s="8"/>
      <c r="N489" s="8"/>
      <c r="O489" s="8"/>
      <c r="P489" s="8"/>
    </row>
    <row r="490" spans="12:16" s="1" customFormat="1" x14ac:dyDescent="0.25">
      <c r="L490" s="8"/>
      <c r="M490" s="8"/>
      <c r="N490" s="8"/>
      <c r="O490" s="8"/>
      <c r="P490" s="8"/>
    </row>
    <row r="491" spans="12:16" s="1" customFormat="1" x14ac:dyDescent="0.25">
      <c r="L491" s="8"/>
      <c r="M491" s="8"/>
      <c r="N491" s="8"/>
      <c r="O491" s="8"/>
      <c r="P491" s="8"/>
    </row>
    <row r="492" spans="12:16" s="1" customFormat="1" x14ac:dyDescent="0.25">
      <c r="L492" s="8"/>
      <c r="M492" s="8"/>
      <c r="N492" s="8"/>
      <c r="O492" s="8"/>
      <c r="P492" s="8"/>
    </row>
    <row r="493" spans="12:16" s="1" customFormat="1" x14ac:dyDescent="0.25">
      <c r="L493" s="8"/>
      <c r="M493" s="8"/>
      <c r="N493" s="8"/>
      <c r="O493" s="8"/>
      <c r="P493" s="8"/>
    </row>
    <row r="494" spans="12:16" s="1" customFormat="1" x14ac:dyDescent="0.25">
      <c r="L494" s="8"/>
      <c r="M494" s="8"/>
      <c r="N494" s="8"/>
      <c r="O494" s="8"/>
      <c r="P494" s="8"/>
    </row>
    <row r="495" spans="12:16" s="1" customFormat="1" x14ac:dyDescent="0.25">
      <c r="L495" s="8"/>
      <c r="M495" s="8"/>
      <c r="N495" s="8"/>
      <c r="O495" s="8"/>
      <c r="P495" s="8"/>
    </row>
    <row r="496" spans="12:16" s="1" customFormat="1" x14ac:dyDescent="0.25">
      <c r="L496" s="8"/>
      <c r="M496" s="8"/>
      <c r="N496" s="8"/>
      <c r="O496" s="8"/>
      <c r="P496" s="8"/>
    </row>
    <row r="497" spans="12:16" s="1" customFormat="1" x14ac:dyDescent="0.25">
      <c r="L497" s="8"/>
      <c r="M497" s="8"/>
      <c r="N497" s="8"/>
      <c r="O497" s="8"/>
      <c r="P497" s="8"/>
    </row>
    <row r="498" spans="12:16" s="1" customFormat="1" x14ac:dyDescent="0.25">
      <c r="L498" s="8"/>
      <c r="M498" s="8"/>
      <c r="N498" s="8"/>
      <c r="O498" s="8"/>
      <c r="P498" s="8"/>
    </row>
    <row r="499" spans="12:16" s="1" customFormat="1" x14ac:dyDescent="0.25">
      <c r="L499" s="8"/>
      <c r="M499" s="8"/>
      <c r="N499" s="8"/>
      <c r="O499" s="8"/>
      <c r="P499" s="8"/>
    </row>
    <row r="500" spans="12:16" s="1" customFormat="1" x14ac:dyDescent="0.25">
      <c r="L500" s="8"/>
      <c r="M500" s="8"/>
      <c r="N500" s="8"/>
      <c r="O500" s="8"/>
      <c r="P500" s="8"/>
    </row>
    <row r="501" spans="12:16" s="1" customFormat="1" x14ac:dyDescent="0.25">
      <c r="L501" s="8"/>
      <c r="M501" s="8"/>
      <c r="N501" s="8"/>
      <c r="O501" s="8"/>
      <c r="P501" s="8"/>
    </row>
    <row r="502" spans="12:16" s="1" customFormat="1" x14ac:dyDescent="0.25">
      <c r="L502" s="8"/>
      <c r="M502" s="8"/>
      <c r="N502" s="8"/>
      <c r="O502" s="8"/>
      <c r="P502" s="8"/>
    </row>
    <row r="503" spans="12:16" s="1" customFormat="1" x14ac:dyDescent="0.25">
      <c r="L503" s="8"/>
      <c r="M503" s="8"/>
      <c r="N503" s="8"/>
      <c r="O503" s="8"/>
      <c r="P503" s="8"/>
    </row>
    <row r="504" spans="12:16" s="1" customFormat="1" x14ac:dyDescent="0.25">
      <c r="L504" s="8"/>
      <c r="M504" s="8"/>
      <c r="N504" s="8"/>
      <c r="O504" s="8"/>
      <c r="P504" s="8"/>
    </row>
    <row r="505" spans="12:16" s="1" customFormat="1" x14ac:dyDescent="0.25">
      <c r="L505" s="8"/>
      <c r="M505" s="8"/>
      <c r="N505" s="8"/>
      <c r="O505" s="8"/>
      <c r="P505" s="8"/>
    </row>
    <row r="506" spans="12:16" s="1" customFormat="1" x14ac:dyDescent="0.25">
      <c r="L506" s="8"/>
      <c r="M506" s="8"/>
      <c r="N506" s="8"/>
      <c r="O506" s="8"/>
      <c r="P506" s="8"/>
    </row>
    <row r="507" spans="12:16" s="1" customFormat="1" x14ac:dyDescent="0.25">
      <c r="L507" s="8"/>
      <c r="M507" s="8"/>
      <c r="N507" s="8"/>
      <c r="O507" s="8"/>
      <c r="P507" s="8"/>
    </row>
    <row r="508" spans="12:16" s="1" customFormat="1" x14ac:dyDescent="0.25">
      <c r="L508" s="8"/>
      <c r="M508" s="8"/>
      <c r="N508" s="8"/>
      <c r="O508" s="8"/>
      <c r="P508" s="8"/>
    </row>
    <row r="509" spans="12:16" s="1" customFormat="1" x14ac:dyDescent="0.25">
      <c r="L509" s="8"/>
      <c r="M509" s="8"/>
      <c r="N509" s="8"/>
      <c r="O509" s="8"/>
      <c r="P509" s="8"/>
    </row>
    <row r="510" spans="12:16" s="1" customFormat="1" x14ac:dyDescent="0.25">
      <c r="L510" s="8"/>
      <c r="M510" s="8"/>
      <c r="N510" s="8"/>
      <c r="O510" s="8"/>
      <c r="P510" s="8"/>
    </row>
    <row r="511" spans="12:16" s="1" customFormat="1" x14ac:dyDescent="0.25">
      <c r="L511" s="8"/>
      <c r="M511" s="8"/>
      <c r="N511" s="8"/>
      <c r="O511" s="8"/>
      <c r="P511" s="8"/>
    </row>
    <row r="512" spans="12:16" s="1" customFormat="1" x14ac:dyDescent="0.25">
      <c r="L512" s="8"/>
      <c r="M512" s="8"/>
      <c r="N512" s="8"/>
      <c r="O512" s="8"/>
      <c r="P512" s="8"/>
    </row>
    <row r="513" spans="12:16" s="1" customFormat="1" x14ac:dyDescent="0.25">
      <c r="L513" s="8"/>
      <c r="M513" s="8"/>
      <c r="N513" s="8"/>
      <c r="O513" s="8"/>
      <c r="P513" s="8"/>
    </row>
    <row r="514" spans="12:16" s="1" customFormat="1" x14ac:dyDescent="0.25">
      <c r="L514" s="8"/>
      <c r="M514" s="8"/>
      <c r="N514" s="8"/>
      <c r="O514" s="8"/>
      <c r="P514" s="8"/>
    </row>
    <row r="515" spans="12:16" s="1" customFormat="1" x14ac:dyDescent="0.25">
      <c r="L515" s="8"/>
      <c r="M515" s="8"/>
      <c r="N515" s="8"/>
      <c r="O515" s="8"/>
      <c r="P515" s="8"/>
    </row>
    <row r="516" spans="12:16" s="1" customFormat="1" x14ac:dyDescent="0.25">
      <c r="L516" s="8"/>
      <c r="M516" s="8"/>
      <c r="N516" s="8"/>
      <c r="O516" s="8"/>
      <c r="P516" s="8"/>
    </row>
    <row r="517" spans="12:16" s="1" customFormat="1" x14ac:dyDescent="0.25">
      <c r="L517" s="8"/>
      <c r="M517" s="8"/>
      <c r="N517" s="8"/>
      <c r="O517" s="8"/>
      <c r="P517" s="8"/>
    </row>
    <row r="518" spans="12:16" s="1" customFormat="1" x14ac:dyDescent="0.25">
      <c r="L518" s="8"/>
      <c r="M518" s="8"/>
      <c r="N518" s="8"/>
      <c r="O518" s="8"/>
      <c r="P518" s="8"/>
    </row>
    <row r="519" spans="12:16" s="1" customFormat="1" x14ac:dyDescent="0.25">
      <c r="L519" s="8"/>
      <c r="M519" s="8"/>
      <c r="N519" s="8"/>
      <c r="O519" s="8"/>
      <c r="P519" s="8"/>
    </row>
    <row r="520" spans="12:16" s="1" customFormat="1" x14ac:dyDescent="0.25">
      <c r="L520" s="8"/>
      <c r="M520" s="8"/>
      <c r="N520" s="8"/>
      <c r="O520" s="8"/>
      <c r="P520" s="8"/>
    </row>
    <row r="521" spans="12:16" s="1" customFormat="1" x14ac:dyDescent="0.25">
      <c r="L521" s="8"/>
      <c r="M521" s="8"/>
      <c r="N521" s="8"/>
      <c r="O521" s="8"/>
      <c r="P521" s="8"/>
    </row>
    <row r="522" spans="12:16" s="1" customFormat="1" x14ac:dyDescent="0.25">
      <c r="L522" s="8"/>
      <c r="M522" s="8"/>
      <c r="N522" s="8"/>
      <c r="O522" s="8"/>
      <c r="P522" s="8"/>
    </row>
    <row r="523" spans="12:16" s="1" customFormat="1" x14ac:dyDescent="0.25">
      <c r="L523" s="8"/>
      <c r="M523" s="8"/>
      <c r="N523" s="8"/>
      <c r="O523" s="8"/>
      <c r="P523" s="8"/>
    </row>
    <row r="524" spans="12:16" s="1" customFormat="1" x14ac:dyDescent="0.25">
      <c r="L524" s="8"/>
      <c r="M524" s="8"/>
      <c r="N524" s="8"/>
      <c r="O524" s="8"/>
      <c r="P524" s="8"/>
    </row>
    <row r="525" spans="12:16" s="1" customFormat="1" x14ac:dyDescent="0.25">
      <c r="L525" s="8"/>
      <c r="M525" s="8"/>
      <c r="N525" s="8"/>
      <c r="O525" s="8"/>
      <c r="P525" s="8"/>
    </row>
    <row r="526" spans="12:16" s="1" customFormat="1" x14ac:dyDescent="0.25">
      <c r="L526" s="8"/>
      <c r="M526" s="8"/>
      <c r="N526" s="8"/>
      <c r="O526" s="8"/>
      <c r="P526" s="8"/>
    </row>
    <row r="527" spans="12:16" s="1" customFormat="1" x14ac:dyDescent="0.25">
      <c r="L527" s="8"/>
      <c r="M527" s="8"/>
      <c r="N527" s="8"/>
      <c r="O527" s="8"/>
      <c r="P527" s="8"/>
    </row>
    <row r="528" spans="12:16" s="1" customFormat="1" x14ac:dyDescent="0.25">
      <c r="L528" s="8"/>
      <c r="M528" s="8"/>
      <c r="N528" s="8"/>
      <c r="O528" s="8"/>
      <c r="P528" s="8"/>
    </row>
    <row r="529" spans="12:16" s="1" customFormat="1" x14ac:dyDescent="0.25">
      <c r="L529" s="8"/>
      <c r="M529" s="8"/>
      <c r="N529" s="8"/>
      <c r="O529" s="8"/>
      <c r="P529" s="8"/>
    </row>
    <row r="530" spans="12:16" s="1" customFormat="1" x14ac:dyDescent="0.25">
      <c r="L530" s="8"/>
      <c r="M530" s="8"/>
      <c r="N530" s="8"/>
      <c r="O530" s="8"/>
      <c r="P530" s="8"/>
    </row>
    <row r="531" spans="12:16" s="1" customFormat="1" x14ac:dyDescent="0.25">
      <c r="L531" s="8"/>
      <c r="M531" s="8"/>
      <c r="N531" s="8"/>
      <c r="O531" s="8"/>
      <c r="P531" s="8"/>
    </row>
    <row r="532" spans="12:16" s="1" customFormat="1" x14ac:dyDescent="0.25">
      <c r="L532" s="8"/>
      <c r="M532" s="8"/>
      <c r="N532" s="8"/>
      <c r="O532" s="8"/>
      <c r="P532" s="8"/>
    </row>
    <row r="533" spans="12:16" s="1" customFormat="1" x14ac:dyDescent="0.25">
      <c r="L533" s="8"/>
      <c r="M533" s="8"/>
      <c r="N533" s="8"/>
      <c r="O533" s="8"/>
      <c r="P533" s="8"/>
    </row>
    <row r="534" spans="12:16" s="1" customFormat="1" x14ac:dyDescent="0.25">
      <c r="L534" s="8"/>
      <c r="M534" s="8"/>
      <c r="N534" s="8"/>
      <c r="O534" s="8"/>
      <c r="P534" s="8"/>
    </row>
    <row r="535" spans="12:16" s="1" customFormat="1" x14ac:dyDescent="0.25">
      <c r="L535" s="8"/>
      <c r="M535" s="8"/>
      <c r="N535" s="8"/>
      <c r="O535" s="8"/>
      <c r="P535" s="8"/>
    </row>
    <row r="536" spans="12:16" s="1" customFormat="1" x14ac:dyDescent="0.25">
      <c r="L536" s="8"/>
      <c r="M536" s="8"/>
      <c r="N536" s="8"/>
      <c r="O536" s="8"/>
      <c r="P536" s="8"/>
    </row>
    <row r="537" spans="12:16" s="1" customFormat="1" x14ac:dyDescent="0.25">
      <c r="L537" s="8"/>
      <c r="M537" s="8"/>
      <c r="N537" s="8"/>
      <c r="O537" s="8"/>
      <c r="P537" s="8"/>
    </row>
    <row r="538" spans="12:16" s="1" customFormat="1" x14ac:dyDescent="0.25">
      <c r="L538" s="8"/>
      <c r="M538" s="8"/>
      <c r="N538" s="8"/>
      <c r="O538" s="8"/>
      <c r="P538" s="8"/>
    </row>
    <row r="539" spans="12:16" s="1" customFormat="1" x14ac:dyDescent="0.25">
      <c r="L539" s="8"/>
      <c r="M539" s="8"/>
      <c r="N539" s="8"/>
      <c r="O539" s="8"/>
      <c r="P539" s="8"/>
    </row>
    <row r="540" spans="12:16" s="1" customFormat="1" x14ac:dyDescent="0.25">
      <c r="L540" s="8"/>
      <c r="M540" s="8"/>
      <c r="N540" s="8"/>
      <c r="O540" s="8"/>
      <c r="P540" s="8"/>
    </row>
    <row r="541" spans="12:16" s="1" customFormat="1" x14ac:dyDescent="0.25">
      <c r="L541" s="8"/>
      <c r="M541" s="8"/>
      <c r="N541" s="8"/>
      <c r="O541" s="8"/>
      <c r="P541" s="8"/>
    </row>
    <row r="542" spans="12:16" s="1" customFormat="1" x14ac:dyDescent="0.25">
      <c r="L542" s="8"/>
      <c r="M542" s="8"/>
      <c r="N542" s="8"/>
      <c r="O542" s="8"/>
      <c r="P542" s="8"/>
    </row>
    <row r="543" spans="12:16" s="1" customFormat="1" x14ac:dyDescent="0.25">
      <c r="L543" s="8"/>
      <c r="M543" s="8"/>
      <c r="N543" s="8"/>
      <c r="O543" s="8"/>
      <c r="P543" s="8"/>
    </row>
    <row r="544" spans="12:16" s="1" customFormat="1" x14ac:dyDescent="0.25">
      <c r="L544" s="8"/>
      <c r="M544" s="8"/>
      <c r="N544" s="8"/>
      <c r="O544" s="8"/>
      <c r="P544" s="8"/>
    </row>
    <row r="545" spans="12:16" s="1" customFormat="1" x14ac:dyDescent="0.25">
      <c r="L545" s="8"/>
      <c r="M545" s="8"/>
      <c r="N545" s="8"/>
      <c r="O545" s="8"/>
      <c r="P545" s="8"/>
    </row>
    <row r="546" spans="12:16" s="1" customFormat="1" x14ac:dyDescent="0.25">
      <c r="L546" s="8"/>
      <c r="M546" s="8"/>
      <c r="N546" s="8"/>
      <c r="O546" s="8"/>
      <c r="P546" s="8"/>
    </row>
    <row r="547" spans="12:16" s="1" customFormat="1" x14ac:dyDescent="0.25">
      <c r="L547" s="8"/>
      <c r="M547" s="8"/>
      <c r="N547" s="8"/>
      <c r="O547" s="8"/>
      <c r="P547" s="8"/>
    </row>
    <row r="548" spans="12:16" s="1" customFormat="1" x14ac:dyDescent="0.25">
      <c r="L548" s="8"/>
      <c r="M548" s="8"/>
      <c r="N548" s="8"/>
      <c r="O548" s="8"/>
      <c r="P548" s="8"/>
    </row>
    <row r="549" spans="12:16" s="1" customFormat="1" x14ac:dyDescent="0.25">
      <c r="L549" s="8"/>
      <c r="M549" s="8"/>
      <c r="N549" s="8"/>
      <c r="O549" s="8"/>
      <c r="P549" s="8"/>
    </row>
    <row r="550" spans="12:16" s="1" customFormat="1" x14ac:dyDescent="0.25">
      <c r="L550" s="8"/>
      <c r="M550" s="8"/>
      <c r="N550" s="8"/>
      <c r="O550" s="8"/>
      <c r="P550" s="8"/>
    </row>
    <row r="551" spans="12:16" s="1" customFormat="1" x14ac:dyDescent="0.25">
      <c r="L551" s="8"/>
      <c r="M551" s="8"/>
      <c r="N551" s="8"/>
      <c r="O551" s="8"/>
      <c r="P551" s="8"/>
    </row>
    <row r="552" spans="12:16" s="1" customFormat="1" x14ac:dyDescent="0.25">
      <c r="L552" s="8"/>
      <c r="M552" s="8"/>
      <c r="N552" s="8"/>
      <c r="O552" s="8"/>
      <c r="P552" s="8"/>
    </row>
    <row r="553" spans="12:16" s="1" customFormat="1" x14ac:dyDescent="0.25">
      <c r="L553" s="8"/>
      <c r="M553" s="8"/>
      <c r="N553" s="8"/>
      <c r="O553" s="8"/>
      <c r="P553" s="8"/>
    </row>
    <row r="554" spans="12:16" s="1" customFormat="1" x14ac:dyDescent="0.25">
      <c r="L554" s="8"/>
      <c r="M554" s="8"/>
      <c r="N554" s="8"/>
      <c r="O554" s="8"/>
      <c r="P554" s="8"/>
    </row>
    <row r="555" spans="12:16" s="1" customFormat="1" x14ac:dyDescent="0.25">
      <c r="L555" s="8"/>
      <c r="M555" s="8"/>
      <c r="N555" s="8"/>
      <c r="O555" s="8"/>
      <c r="P555" s="8"/>
    </row>
    <row r="556" spans="12:16" s="1" customFormat="1" x14ac:dyDescent="0.25">
      <c r="L556" s="8"/>
      <c r="M556" s="8"/>
      <c r="N556" s="8"/>
      <c r="O556" s="8"/>
      <c r="P556" s="8"/>
    </row>
    <row r="557" spans="12:16" s="1" customFormat="1" x14ac:dyDescent="0.25">
      <c r="L557" s="8"/>
      <c r="M557" s="8"/>
      <c r="N557" s="8"/>
      <c r="O557" s="8"/>
      <c r="P557" s="8"/>
    </row>
    <row r="558" spans="12:16" s="1" customFormat="1" x14ac:dyDescent="0.25">
      <c r="L558" s="8"/>
      <c r="M558" s="8"/>
      <c r="N558" s="8"/>
      <c r="O558" s="8"/>
      <c r="P558" s="8"/>
    </row>
    <row r="559" spans="12:16" s="1" customFormat="1" x14ac:dyDescent="0.25">
      <c r="L559" s="8"/>
      <c r="M559" s="8"/>
      <c r="N559" s="8"/>
      <c r="O559" s="8"/>
      <c r="P559" s="8"/>
    </row>
    <row r="560" spans="12:16" s="1" customFormat="1" x14ac:dyDescent="0.25">
      <c r="L560" s="8"/>
      <c r="M560" s="8"/>
      <c r="N560" s="8"/>
      <c r="O560" s="8"/>
      <c r="P560" s="8"/>
    </row>
    <row r="561" spans="12:16" s="1" customFormat="1" x14ac:dyDescent="0.25">
      <c r="L561" s="8"/>
      <c r="M561" s="8"/>
      <c r="N561" s="8"/>
      <c r="O561" s="8"/>
      <c r="P561" s="8"/>
    </row>
    <row r="562" spans="12:16" s="1" customFormat="1" x14ac:dyDescent="0.25">
      <c r="L562" s="8"/>
      <c r="M562" s="8"/>
      <c r="N562" s="8"/>
      <c r="O562" s="8"/>
      <c r="P562" s="8"/>
    </row>
    <row r="563" spans="12:16" s="1" customFormat="1" x14ac:dyDescent="0.25">
      <c r="L563" s="8"/>
      <c r="M563" s="8"/>
      <c r="N563" s="8"/>
      <c r="O563" s="8"/>
      <c r="P563" s="8"/>
    </row>
    <row r="564" spans="12:16" s="1" customFormat="1" x14ac:dyDescent="0.25">
      <c r="L564" s="8"/>
      <c r="M564" s="8"/>
      <c r="N564" s="8"/>
      <c r="O564" s="8"/>
      <c r="P564" s="8"/>
    </row>
    <row r="565" spans="12:16" s="1" customFormat="1" x14ac:dyDescent="0.25">
      <c r="L565" s="8"/>
      <c r="M565" s="8"/>
      <c r="N565" s="8"/>
      <c r="O565" s="8"/>
      <c r="P565" s="8"/>
    </row>
    <row r="566" spans="12:16" s="1" customFormat="1" x14ac:dyDescent="0.25">
      <c r="L566" s="8"/>
      <c r="M566" s="8"/>
      <c r="N566" s="8"/>
      <c r="O566" s="8"/>
      <c r="P566" s="8"/>
    </row>
    <row r="567" spans="12:16" s="1" customFormat="1" x14ac:dyDescent="0.25">
      <c r="L567" s="8"/>
      <c r="M567" s="8"/>
      <c r="N567" s="8"/>
      <c r="O567" s="8"/>
      <c r="P567" s="8"/>
    </row>
    <row r="568" spans="12:16" s="1" customFormat="1" x14ac:dyDescent="0.25">
      <c r="L568" s="8"/>
      <c r="M568" s="8"/>
      <c r="N568" s="8"/>
      <c r="O568" s="8"/>
      <c r="P568" s="8"/>
    </row>
    <row r="569" spans="12:16" s="1" customFormat="1" x14ac:dyDescent="0.25">
      <c r="L569" s="8"/>
      <c r="M569" s="8"/>
      <c r="N569" s="8"/>
      <c r="O569" s="8"/>
      <c r="P569" s="8"/>
    </row>
    <row r="570" spans="12:16" s="1" customFormat="1" x14ac:dyDescent="0.25">
      <c r="L570" s="8"/>
      <c r="M570" s="8"/>
      <c r="N570" s="8"/>
      <c r="O570" s="8"/>
      <c r="P570" s="8"/>
    </row>
    <row r="571" spans="12:16" s="1" customFormat="1" x14ac:dyDescent="0.25">
      <c r="L571" s="8"/>
      <c r="M571" s="8"/>
      <c r="N571" s="8"/>
      <c r="O571" s="8"/>
      <c r="P571" s="8"/>
    </row>
    <row r="572" spans="12:16" s="1" customFormat="1" x14ac:dyDescent="0.25">
      <c r="L572" s="8"/>
      <c r="M572" s="8"/>
      <c r="N572" s="8"/>
      <c r="O572" s="8"/>
      <c r="P572" s="8"/>
    </row>
    <row r="573" spans="12:16" s="1" customFormat="1" x14ac:dyDescent="0.25">
      <c r="L573" s="8"/>
      <c r="M573" s="8"/>
      <c r="N573" s="8"/>
      <c r="O573" s="8"/>
      <c r="P573" s="8"/>
    </row>
    <row r="574" spans="12:16" s="1" customFormat="1" x14ac:dyDescent="0.25">
      <c r="L574" s="8"/>
      <c r="M574" s="8"/>
      <c r="N574" s="8"/>
      <c r="O574" s="8"/>
      <c r="P574" s="8"/>
    </row>
    <row r="575" spans="12:16" s="1" customFormat="1" x14ac:dyDescent="0.25">
      <c r="L575" s="8"/>
      <c r="M575" s="8"/>
      <c r="N575" s="8"/>
      <c r="O575" s="8"/>
      <c r="P575" s="8"/>
    </row>
    <row r="576" spans="12:16" s="1" customFormat="1" x14ac:dyDescent="0.25">
      <c r="L576" s="8"/>
      <c r="M576" s="8"/>
      <c r="N576" s="8"/>
      <c r="O576" s="8"/>
      <c r="P576" s="8"/>
    </row>
    <row r="577" spans="12:16" s="1" customFormat="1" x14ac:dyDescent="0.25">
      <c r="L577" s="8"/>
      <c r="M577" s="8"/>
      <c r="N577" s="8"/>
      <c r="O577" s="8"/>
      <c r="P577" s="8"/>
    </row>
    <row r="578" spans="12:16" s="1" customFormat="1" x14ac:dyDescent="0.25">
      <c r="L578" s="8"/>
      <c r="M578" s="8"/>
      <c r="N578" s="8"/>
      <c r="O578" s="8"/>
      <c r="P578" s="8"/>
    </row>
    <row r="579" spans="12:16" s="1" customFormat="1" x14ac:dyDescent="0.25">
      <c r="L579" s="8"/>
      <c r="M579" s="8"/>
      <c r="N579" s="8"/>
      <c r="O579" s="8"/>
      <c r="P579" s="8"/>
    </row>
    <row r="580" spans="12:16" s="1" customFormat="1" x14ac:dyDescent="0.25">
      <c r="L580" s="8"/>
      <c r="M580" s="8"/>
      <c r="N580" s="8"/>
      <c r="O580" s="8"/>
      <c r="P580" s="8"/>
    </row>
    <row r="581" spans="12:16" s="1" customFormat="1" x14ac:dyDescent="0.25">
      <c r="L581" s="8"/>
      <c r="M581" s="8"/>
      <c r="N581" s="8"/>
      <c r="O581" s="8"/>
      <c r="P581" s="8"/>
    </row>
    <row r="582" spans="12:16" s="1" customFormat="1" x14ac:dyDescent="0.25">
      <c r="L582" s="8"/>
      <c r="M582" s="8"/>
      <c r="N582" s="8"/>
      <c r="O582" s="8"/>
      <c r="P582" s="8"/>
    </row>
    <row r="583" spans="12:16" s="1" customFormat="1" x14ac:dyDescent="0.25">
      <c r="L583" s="8"/>
      <c r="M583" s="8"/>
      <c r="N583" s="8"/>
      <c r="O583" s="8"/>
      <c r="P583" s="8"/>
    </row>
    <row r="584" spans="12:16" s="1" customFormat="1" x14ac:dyDescent="0.25">
      <c r="L584" s="8"/>
      <c r="M584" s="8"/>
      <c r="N584" s="8"/>
      <c r="O584" s="8"/>
      <c r="P584" s="8"/>
    </row>
    <row r="585" spans="12:16" s="1" customFormat="1" x14ac:dyDescent="0.25">
      <c r="L585" s="8"/>
      <c r="M585" s="8"/>
      <c r="N585" s="8"/>
      <c r="O585" s="8"/>
      <c r="P585" s="8"/>
    </row>
    <row r="586" spans="12:16" s="1" customFormat="1" x14ac:dyDescent="0.25">
      <c r="L586" s="8"/>
      <c r="M586" s="8"/>
      <c r="N586" s="8"/>
      <c r="O586" s="8"/>
      <c r="P586" s="8"/>
    </row>
    <row r="587" spans="12:16" s="1" customFormat="1" x14ac:dyDescent="0.25">
      <c r="L587" s="8"/>
      <c r="M587" s="8"/>
      <c r="N587" s="8"/>
      <c r="O587" s="8"/>
      <c r="P587" s="8"/>
    </row>
    <row r="588" spans="12:16" s="1" customFormat="1" x14ac:dyDescent="0.25">
      <c r="L588" s="8"/>
      <c r="M588" s="8"/>
      <c r="N588" s="8"/>
      <c r="O588" s="8"/>
      <c r="P588" s="8"/>
    </row>
    <row r="589" spans="12:16" s="1" customFormat="1" x14ac:dyDescent="0.25">
      <c r="L589" s="8"/>
      <c r="M589" s="8"/>
      <c r="N589" s="8"/>
      <c r="O589" s="8"/>
      <c r="P589" s="8"/>
    </row>
    <row r="590" spans="12:16" s="1" customFormat="1" x14ac:dyDescent="0.25">
      <c r="L590" s="8"/>
      <c r="M590" s="8"/>
      <c r="N590" s="8"/>
      <c r="O590" s="8"/>
      <c r="P590" s="8"/>
    </row>
    <row r="591" spans="12:16" s="1" customFormat="1" x14ac:dyDescent="0.25">
      <c r="L591" s="8"/>
      <c r="M591" s="8"/>
      <c r="N591" s="8"/>
      <c r="O591" s="8"/>
      <c r="P591" s="8"/>
    </row>
    <row r="592" spans="12:16" s="1" customFormat="1" x14ac:dyDescent="0.25">
      <c r="L592" s="8"/>
      <c r="M592" s="8"/>
      <c r="N592" s="8"/>
      <c r="O592" s="8"/>
      <c r="P592" s="8"/>
    </row>
    <row r="593" spans="12:16" s="1" customFormat="1" x14ac:dyDescent="0.25">
      <c r="L593" s="8"/>
      <c r="M593" s="8"/>
      <c r="N593" s="8"/>
      <c r="O593" s="8"/>
      <c r="P593" s="8"/>
    </row>
    <row r="594" spans="12:16" s="1" customFormat="1" x14ac:dyDescent="0.25">
      <c r="L594" s="8"/>
      <c r="M594" s="8"/>
      <c r="N594" s="8"/>
      <c r="O594" s="8"/>
      <c r="P594" s="8"/>
    </row>
    <row r="595" spans="12:16" s="1" customFormat="1" x14ac:dyDescent="0.25">
      <c r="L595" s="8"/>
      <c r="M595" s="8"/>
      <c r="N595" s="8"/>
      <c r="O595" s="8"/>
      <c r="P595" s="8"/>
    </row>
    <row r="596" spans="12:16" s="1" customFormat="1" x14ac:dyDescent="0.25">
      <c r="L596" s="8"/>
      <c r="M596" s="8"/>
      <c r="N596" s="8"/>
      <c r="O596" s="8"/>
      <c r="P596" s="8"/>
    </row>
    <row r="597" spans="12:16" s="1" customFormat="1" x14ac:dyDescent="0.25">
      <c r="L597" s="8"/>
      <c r="M597" s="8"/>
      <c r="N597" s="8"/>
      <c r="O597" s="8"/>
      <c r="P597" s="8"/>
    </row>
    <row r="598" spans="12:16" s="1" customFormat="1" x14ac:dyDescent="0.25">
      <c r="L598" s="8"/>
      <c r="M598" s="8"/>
      <c r="N598" s="8"/>
      <c r="O598" s="8"/>
      <c r="P598" s="8"/>
    </row>
    <row r="599" spans="12:16" s="1" customFormat="1" x14ac:dyDescent="0.25">
      <c r="L599" s="8"/>
      <c r="M599" s="8"/>
      <c r="N599" s="8"/>
      <c r="O599" s="8"/>
      <c r="P599" s="8"/>
    </row>
    <row r="600" spans="12:16" s="1" customFormat="1" x14ac:dyDescent="0.25">
      <c r="L600" s="8"/>
      <c r="M600" s="8"/>
      <c r="N600" s="8"/>
      <c r="O600" s="8"/>
      <c r="P600" s="8"/>
    </row>
    <row r="601" spans="12:16" s="1" customFormat="1" x14ac:dyDescent="0.25">
      <c r="L601" s="8"/>
      <c r="M601" s="8"/>
      <c r="N601" s="8"/>
      <c r="O601" s="8"/>
      <c r="P601" s="8"/>
    </row>
    <row r="602" spans="12:16" s="1" customFormat="1" x14ac:dyDescent="0.25">
      <c r="L602" s="8"/>
      <c r="M602" s="8"/>
      <c r="N602" s="8"/>
      <c r="O602" s="8"/>
      <c r="P602" s="8"/>
    </row>
    <row r="603" spans="12:16" s="1" customFormat="1" x14ac:dyDescent="0.25">
      <c r="L603" s="8"/>
      <c r="M603" s="8"/>
      <c r="N603" s="8"/>
      <c r="O603" s="8"/>
      <c r="P603" s="8"/>
    </row>
    <row r="604" spans="12:16" s="1" customFormat="1" x14ac:dyDescent="0.25">
      <c r="L604" s="8"/>
      <c r="M604" s="8"/>
      <c r="N604" s="8"/>
      <c r="O604" s="8"/>
      <c r="P604" s="8"/>
    </row>
    <row r="605" spans="12:16" s="1" customFormat="1" x14ac:dyDescent="0.25">
      <c r="L605" s="8"/>
      <c r="M605" s="8"/>
      <c r="N605" s="8"/>
      <c r="O605" s="8"/>
      <c r="P605" s="8"/>
    </row>
    <row r="606" spans="12:16" s="1" customFormat="1" x14ac:dyDescent="0.25">
      <c r="L606" s="8"/>
      <c r="M606" s="8"/>
      <c r="N606" s="8"/>
      <c r="O606" s="8"/>
      <c r="P606" s="8"/>
    </row>
    <row r="607" spans="12:16" s="1" customFormat="1" x14ac:dyDescent="0.25">
      <c r="L607" s="8"/>
      <c r="M607" s="8"/>
      <c r="N607" s="8"/>
      <c r="O607" s="8"/>
      <c r="P607" s="8"/>
    </row>
    <row r="608" spans="12:16" s="1" customFormat="1" x14ac:dyDescent="0.25">
      <c r="L608" s="8"/>
      <c r="M608" s="8"/>
      <c r="N608" s="8"/>
      <c r="O608" s="8"/>
      <c r="P608" s="8"/>
    </row>
    <row r="609" spans="12:16" s="1" customFormat="1" x14ac:dyDescent="0.25">
      <c r="L609" s="8"/>
      <c r="M609" s="8"/>
      <c r="N609" s="8"/>
      <c r="O609" s="8"/>
      <c r="P609" s="8"/>
    </row>
    <row r="610" spans="12:16" s="1" customFormat="1" x14ac:dyDescent="0.25">
      <c r="L610" s="8"/>
      <c r="M610" s="8"/>
      <c r="N610" s="8"/>
      <c r="O610" s="8"/>
      <c r="P610" s="8"/>
    </row>
    <row r="611" spans="12:16" s="1" customFormat="1" x14ac:dyDescent="0.25">
      <c r="L611" s="8"/>
      <c r="M611" s="8"/>
      <c r="N611" s="8"/>
      <c r="O611" s="8"/>
      <c r="P611" s="8"/>
    </row>
    <row r="612" spans="12:16" s="1" customFormat="1" x14ac:dyDescent="0.25">
      <c r="L612" s="8"/>
      <c r="M612" s="8"/>
      <c r="N612" s="8"/>
      <c r="O612" s="8"/>
      <c r="P612" s="8"/>
    </row>
    <row r="613" spans="12:16" s="1" customFormat="1" x14ac:dyDescent="0.25">
      <c r="L613" s="8"/>
      <c r="M613" s="8"/>
      <c r="N613" s="8"/>
      <c r="O613" s="8"/>
      <c r="P613" s="8"/>
    </row>
    <row r="614" spans="12:16" s="1" customFormat="1" x14ac:dyDescent="0.25">
      <c r="L614" s="8"/>
      <c r="M614" s="8"/>
      <c r="N614" s="8"/>
      <c r="O614" s="8"/>
      <c r="P614" s="8"/>
    </row>
    <row r="615" spans="12:16" s="1" customFormat="1" x14ac:dyDescent="0.25">
      <c r="L615" s="8"/>
      <c r="M615" s="8"/>
      <c r="N615" s="8"/>
      <c r="O615" s="8"/>
      <c r="P615" s="8"/>
    </row>
    <row r="616" spans="12:16" s="1" customFormat="1" x14ac:dyDescent="0.25">
      <c r="L616" s="8"/>
      <c r="M616" s="8"/>
      <c r="N616" s="8"/>
      <c r="O616" s="8"/>
      <c r="P616" s="8"/>
    </row>
    <row r="617" spans="12:16" s="1" customFormat="1" x14ac:dyDescent="0.25">
      <c r="L617" s="8"/>
      <c r="M617" s="8"/>
      <c r="N617" s="8"/>
      <c r="O617" s="8"/>
      <c r="P617" s="8"/>
    </row>
    <row r="618" spans="12:16" s="1" customFormat="1" x14ac:dyDescent="0.25">
      <c r="L618" s="8"/>
      <c r="M618" s="8"/>
      <c r="N618" s="8"/>
      <c r="O618" s="8"/>
      <c r="P618" s="8"/>
    </row>
    <row r="619" spans="12:16" s="1" customFormat="1" x14ac:dyDescent="0.25">
      <c r="L619" s="8"/>
      <c r="M619" s="8"/>
      <c r="N619" s="8"/>
      <c r="O619" s="8"/>
      <c r="P619" s="8"/>
    </row>
    <row r="620" spans="12:16" s="1" customFormat="1" x14ac:dyDescent="0.25">
      <c r="L620" s="8"/>
      <c r="M620" s="8"/>
      <c r="N620" s="8"/>
      <c r="O620" s="8"/>
      <c r="P620" s="8"/>
    </row>
    <row r="621" spans="12:16" s="1" customFormat="1" x14ac:dyDescent="0.25">
      <c r="L621" s="8"/>
      <c r="M621" s="8"/>
      <c r="N621" s="8"/>
      <c r="O621" s="8"/>
      <c r="P621" s="8"/>
    </row>
    <row r="622" spans="12:16" s="1" customFormat="1" x14ac:dyDescent="0.25">
      <c r="L622" s="8"/>
      <c r="M622" s="8"/>
      <c r="N622" s="8"/>
      <c r="O622" s="8"/>
      <c r="P622" s="8"/>
    </row>
    <row r="623" spans="12:16" s="1" customFormat="1" x14ac:dyDescent="0.25">
      <c r="L623" s="8"/>
      <c r="M623" s="8"/>
      <c r="N623" s="8"/>
      <c r="O623" s="8"/>
      <c r="P623" s="8"/>
    </row>
    <row r="624" spans="12:16" s="1" customFormat="1" x14ac:dyDescent="0.25">
      <c r="L624" s="8"/>
      <c r="M624" s="8"/>
      <c r="N624" s="8"/>
      <c r="O624" s="8"/>
      <c r="P624" s="8"/>
    </row>
    <row r="625" spans="12:16" s="1" customFormat="1" x14ac:dyDescent="0.25">
      <c r="L625" s="8"/>
      <c r="M625" s="8"/>
      <c r="N625" s="8"/>
      <c r="O625" s="8"/>
      <c r="P625" s="8"/>
    </row>
    <row r="626" spans="12:16" s="1" customFormat="1" x14ac:dyDescent="0.25">
      <c r="L626" s="8"/>
      <c r="M626" s="8"/>
      <c r="N626" s="8"/>
      <c r="O626" s="8"/>
      <c r="P626" s="8"/>
    </row>
    <row r="627" spans="12:16" s="1" customFormat="1" x14ac:dyDescent="0.25">
      <c r="L627" s="8"/>
      <c r="M627" s="8"/>
      <c r="N627" s="8"/>
      <c r="O627" s="8"/>
      <c r="P627" s="8"/>
    </row>
    <row r="628" spans="12:16" s="1" customFormat="1" x14ac:dyDescent="0.25">
      <c r="L628" s="8"/>
      <c r="M628" s="8"/>
      <c r="N628" s="8"/>
      <c r="O628" s="8"/>
      <c r="P628" s="8"/>
    </row>
    <row r="629" spans="12:16" s="1" customFormat="1" x14ac:dyDescent="0.25">
      <c r="L629" s="8"/>
      <c r="M629" s="8"/>
      <c r="N629" s="8"/>
      <c r="O629" s="8"/>
      <c r="P629" s="8"/>
    </row>
    <row r="630" spans="12:16" s="1" customFormat="1" x14ac:dyDescent="0.25">
      <c r="L630" s="8"/>
      <c r="M630" s="8"/>
      <c r="N630" s="8"/>
      <c r="O630" s="8"/>
      <c r="P630" s="8"/>
    </row>
    <row r="631" spans="12:16" s="1" customFormat="1" x14ac:dyDescent="0.25">
      <c r="L631" s="8"/>
      <c r="M631" s="8"/>
      <c r="N631" s="8"/>
      <c r="O631" s="8"/>
      <c r="P631" s="8"/>
    </row>
    <row r="632" spans="12:16" s="1" customFormat="1" x14ac:dyDescent="0.25">
      <c r="L632" s="8"/>
      <c r="M632" s="8"/>
      <c r="N632" s="8"/>
      <c r="O632" s="8"/>
      <c r="P632" s="8"/>
    </row>
    <row r="633" spans="12:16" s="1" customFormat="1" x14ac:dyDescent="0.25">
      <c r="L633" s="8"/>
      <c r="M633" s="8"/>
      <c r="N633" s="8"/>
      <c r="O633" s="8"/>
      <c r="P633" s="8"/>
    </row>
    <row r="634" spans="12:16" s="1" customFormat="1" x14ac:dyDescent="0.25">
      <c r="L634" s="8"/>
      <c r="M634" s="8"/>
      <c r="N634" s="8"/>
      <c r="O634" s="8"/>
      <c r="P634" s="8"/>
    </row>
    <row r="635" spans="12:16" s="1" customFormat="1" x14ac:dyDescent="0.25">
      <c r="L635" s="8"/>
      <c r="M635" s="8"/>
      <c r="N635" s="8"/>
      <c r="O635" s="8"/>
      <c r="P635" s="8"/>
    </row>
    <row r="636" spans="12:16" s="1" customFormat="1" x14ac:dyDescent="0.25">
      <c r="L636" s="8"/>
      <c r="M636" s="8"/>
      <c r="N636" s="8"/>
      <c r="O636" s="8"/>
      <c r="P636" s="8"/>
    </row>
    <row r="637" spans="12:16" s="1" customFormat="1" x14ac:dyDescent="0.25">
      <c r="L637" s="8"/>
      <c r="M637" s="8"/>
      <c r="N637" s="8"/>
      <c r="O637" s="8"/>
      <c r="P637" s="8"/>
    </row>
    <row r="638" spans="12:16" s="1" customFormat="1" x14ac:dyDescent="0.25">
      <c r="L638" s="8"/>
      <c r="M638" s="8"/>
      <c r="N638" s="8"/>
      <c r="O638" s="8"/>
      <c r="P638" s="8"/>
    </row>
    <row r="639" spans="12:16" s="1" customFormat="1" x14ac:dyDescent="0.25">
      <c r="L639" s="8"/>
      <c r="M639" s="8"/>
      <c r="N639" s="8"/>
      <c r="O639" s="8"/>
      <c r="P639" s="8"/>
    </row>
    <row r="640" spans="12:16" s="1" customFormat="1" x14ac:dyDescent="0.25">
      <c r="L640" s="8"/>
      <c r="M640" s="8"/>
      <c r="N640" s="8"/>
      <c r="O640" s="8"/>
      <c r="P640" s="8"/>
    </row>
    <row r="641" spans="12:16" s="1" customFormat="1" x14ac:dyDescent="0.25">
      <c r="L641" s="8"/>
      <c r="M641" s="8"/>
      <c r="N641" s="8"/>
      <c r="O641" s="8"/>
      <c r="P641" s="8"/>
    </row>
    <row r="642" spans="12:16" s="1" customFormat="1" x14ac:dyDescent="0.25">
      <c r="L642" s="8"/>
      <c r="M642" s="8"/>
      <c r="N642" s="8"/>
      <c r="O642" s="8"/>
      <c r="P642" s="8"/>
    </row>
    <row r="643" spans="12:16" s="1" customFormat="1" x14ac:dyDescent="0.25">
      <c r="L643" s="8"/>
      <c r="M643" s="8"/>
      <c r="N643" s="8"/>
      <c r="O643" s="8"/>
      <c r="P643" s="8"/>
    </row>
    <row r="644" spans="12:16" s="1" customFormat="1" x14ac:dyDescent="0.25">
      <c r="L644" s="8"/>
      <c r="M644" s="8"/>
      <c r="N644" s="8"/>
      <c r="O644" s="8"/>
      <c r="P644" s="8"/>
    </row>
    <row r="645" spans="12:16" s="1" customFormat="1" x14ac:dyDescent="0.25">
      <c r="L645" s="8"/>
      <c r="M645" s="8"/>
      <c r="N645" s="8"/>
      <c r="O645" s="8"/>
      <c r="P645" s="8"/>
    </row>
    <row r="646" spans="12:16" s="1" customFormat="1" x14ac:dyDescent="0.25">
      <c r="L646" s="8"/>
      <c r="M646" s="8"/>
      <c r="N646" s="8"/>
      <c r="O646" s="8"/>
      <c r="P646" s="8"/>
    </row>
    <row r="647" spans="12:16" s="1" customFormat="1" x14ac:dyDescent="0.25">
      <c r="L647" s="8"/>
      <c r="M647" s="8"/>
      <c r="N647" s="8"/>
      <c r="O647" s="8"/>
      <c r="P647" s="8"/>
    </row>
    <row r="648" spans="12:16" s="1" customFormat="1" x14ac:dyDescent="0.25">
      <c r="L648" s="8"/>
      <c r="M648" s="8"/>
      <c r="N648" s="8"/>
      <c r="O648" s="8"/>
      <c r="P648" s="8"/>
    </row>
    <row r="649" spans="12:16" s="1" customFormat="1" x14ac:dyDescent="0.25">
      <c r="L649" s="8"/>
      <c r="M649" s="8"/>
      <c r="N649" s="8"/>
      <c r="O649" s="8"/>
      <c r="P649" s="8"/>
    </row>
    <row r="650" spans="12:16" s="1" customFormat="1" x14ac:dyDescent="0.25">
      <c r="L650" s="8"/>
      <c r="M650" s="8"/>
      <c r="N650" s="8"/>
      <c r="O650" s="8"/>
      <c r="P650" s="8"/>
    </row>
    <row r="651" spans="12:16" s="1" customFormat="1" x14ac:dyDescent="0.25">
      <c r="L651" s="8"/>
      <c r="M651" s="8"/>
      <c r="N651" s="8"/>
      <c r="O651" s="8"/>
      <c r="P651" s="8"/>
    </row>
    <row r="652" spans="12:16" s="1" customFormat="1" x14ac:dyDescent="0.25">
      <c r="L652" s="8"/>
      <c r="M652" s="8"/>
      <c r="N652" s="8"/>
      <c r="O652" s="8"/>
      <c r="P652" s="8"/>
    </row>
    <row r="653" spans="12:16" s="1" customFormat="1" x14ac:dyDescent="0.25">
      <c r="L653" s="8"/>
      <c r="M653" s="8"/>
      <c r="N653" s="8"/>
      <c r="O653" s="8"/>
      <c r="P653" s="8"/>
    </row>
    <row r="654" spans="12:16" s="1" customFormat="1" x14ac:dyDescent="0.25">
      <c r="L654" s="8"/>
      <c r="M654" s="8"/>
      <c r="N654" s="8"/>
      <c r="O654" s="8"/>
      <c r="P654" s="8"/>
    </row>
    <row r="655" spans="12:16" s="1" customFormat="1" x14ac:dyDescent="0.25">
      <c r="L655" s="8"/>
      <c r="M655" s="8"/>
      <c r="N655" s="8"/>
      <c r="O655" s="8"/>
      <c r="P655" s="8"/>
    </row>
    <row r="656" spans="12:16" s="1" customFormat="1" x14ac:dyDescent="0.25">
      <c r="L656" s="8"/>
      <c r="M656" s="8"/>
      <c r="N656" s="8"/>
      <c r="O656" s="8"/>
      <c r="P656" s="8"/>
    </row>
    <row r="657" spans="12:16" s="1" customFormat="1" x14ac:dyDescent="0.25">
      <c r="L657" s="8"/>
      <c r="M657" s="8"/>
      <c r="N657" s="8"/>
      <c r="O657" s="8"/>
      <c r="P657" s="8"/>
    </row>
    <row r="658" spans="12:16" s="1" customFormat="1" x14ac:dyDescent="0.25">
      <c r="L658" s="8"/>
      <c r="M658" s="8"/>
      <c r="N658" s="8"/>
      <c r="O658" s="8"/>
      <c r="P658" s="8"/>
    </row>
    <row r="659" spans="12:16" s="1" customFormat="1" x14ac:dyDescent="0.25">
      <c r="L659" s="8"/>
      <c r="M659" s="8"/>
      <c r="N659" s="8"/>
      <c r="O659" s="8"/>
      <c r="P659" s="8"/>
    </row>
    <row r="660" spans="12:16" s="1" customFormat="1" x14ac:dyDescent="0.25">
      <c r="L660" s="8"/>
      <c r="M660" s="8"/>
      <c r="N660" s="8"/>
      <c r="O660" s="8"/>
      <c r="P660" s="8"/>
    </row>
    <row r="661" spans="12:16" s="1" customFormat="1" x14ac:dyDescent="0.25">
      <c r="L661" s="8"/>
      <c r="M661" s="8"/>
      <c r="N661" s="8"/>
      <c r="O661" s="8"/>
      <c r="P661" s="8"/>
    </row>
    <row r="662" spans="12:16" s="1" customFormat="1" x14ac:dyDescent="0.25">
      <c r="L662" s="8"/>
      <c r="M662" s="8"/>
      <c r="N662" s="8"/>
      <c r="O662" s="8"/>
      <c r="P662" s="8"/>
    </row>
    <row r="663" spans="12:16" s="1" customFormat="1" x14ac:dyDescent="0.25">
      <c r="L663" s="8"/>
      <c r="M663" s="8"/>
      <c r="N663" s="8"/>
      <c r="O663" s="8"/>
      <c r="P663" s="8"/>
    </row>
    <row r="664" spans="12:16" s="1" customFormat="1" x14ac:dyDescent="0.25">
      <c r="L664" s="8"/>
      <c r="M664" s="8"/>
      <c r="N664" s="8"/>
      <c r="O664" s="8"/>
      <c r="P664" s="8"/>
    </row>
    <row r="665" spans="12:16" s="1" customFormat="1" x14ac:dyDescent="0.25">
      <c r="L665" s="8"/>
      <c r="M665" s="8"/>
      <c r="N665" s="8"/>
      <c r="O665" s="8"/>
      <c r="P665" s="8"/>
    </row>
    <row r="666" spans="12:16" s="1" customFormat="1" x14ac:dyDescent="0.25">
      <c r="L666" s="8"/>
      <c r="M666" s="8"/>
      <c r="N666" s="8"/>
      <c r="O666" s="8"/>
      <c r="P666" s="8"/>
    </row>
    <row r="667" spans="12:16" s="1" customFormat="1" x14ac:dyDescent="0.25">
      <c r="L667" s="8"/>
      <c r="M667" s="8"/>
      <c r="N667" s="8"/>
      <c r="O667" s="8"/>
      <c r="P667" s="8"/>
    </row>
    <row r="668" spans="12:16" s="1" customFormat="1" x14ac:dyDescent="0.25">
      <c r="L668" s="8"/>
      <c r="M668" s="8"/>
      <c r="N668" s="8"/>
      <c r="O668" s="8"/>
      <c r="P668" s="8"/>
    </row>
    <row r="669" spans="12:16" s="1" customFormat="1" x14ac:dyDescent="0.25">
      <c r="L669" s="8"/>
      <c r="M669" s="8"/>
      <c r="N669" s="8"/>
      <c r="O669" s="8"/>
      <c r="P669" s="8"/>
    </row>
    <row r="670" spans="12:16" s="1" customFormat="1" x14ac:dyDescent="0.25">
      <c r="L670" s="8"/>
      <c r="M670" s="8"/>
      <c r="N670" s="8"/>
      <c r="O670" s="8"/>
      <c r="P670" s="8"/>
    </row>
    <row r="671" spans="12:16" s="1" customFormat="1" x14ac:dyDescent="0.25">
      <c r="L671" s="8"/>
      <c r="M671" s="8"/>
      <c r="N671" s="8"/>
      <c r="O671" s="8"/>
      <c r="P671" s="8"/>
    </row>
    <row r="672" spans="12:16" s="1" customFormat="1" x14ac:dyDescent="0.25">
      <c r="L672" s="8"/>
      <c r="M672" s="8"/>
      <c r="N672" s="8"/>
      <c r="O672" s="8"/>
      <c r="P672" s="8"/>
    </row>
    <row r="673" spans="12:16" s="1" customFormat="1" x14ac:dyDescent="0.25">
      <c r="L673" s="8"/>
      <c r="M673" s="8"/>
      <c r="N673" s="8"/>
      <c r="O673" s="8"/>
      <c r="P673" s="8"/>
    </row>
    <row r="674" spans="12:16" s="1" customFormat="1" x14ac:dyDescent="0.25">
      <c r="L674" s="8"/>
      <c r="M674" s="8"/>
      <c r="N674" s="8"/>
      <c r="O674" s="8"/>
      <c r="P674" s="8"/>
    </row>
    <row r="675" spans="12:16" s="1" customFormat="1" x14ac:dyDescent="0.25">
      <c r="L675" s="8"/>
      <c r="M675" s="8"/>
      <c r="N675" s="8"/>
      <c r="O675" s="8"/>
      <c r="P675" s="8"/>
    </row>
    <row r="676" spans="12:16" s="1" customFormat="1" x14ac:dyDescent="0.25">
      <c r="L676" s="8"/>
      <c r="M676" s="8"/>
      <c r="N676" s="8"/>
      <c r="O676" s="8"/>
      <c r="P676" s="8"/>
    </row>
    <row r="677" spans="12:16" s="1" customFormat="1" x14ac:dyDescent="0.25">
      <c r="L677" s="8"/>
      <c r="M677" s="8"/>
      <c r="N677" s="8"/>
      <c r="O677" s="8"/>
      <c r="P677" s="8"/>
    </row>
    <row r="678" spans="12:16" s="1" customFormat="1" x14ac:dyDescent="0.25">
      <c r="L678" s="8"/>
      <c r="M678" s="8"/>
      <c r="N678" s="8"/>
      <c r="O678" s="8"/>
      <c r="P678" s="8"/>
    </row>
    <row r="679" spans="12:16" s="1" customFormat="1" x14ac:dyDescent="0.25">
      <c r="L679" s="8"/>
      <c r="M679" s="8"/>
      <c r="N679" s="8"/>
      <c r="O679" s="8"/>
      <c r="P679" s="8"/>
    </row>
    <row r="680" spans="12:16" s="1" customFormat="1" x14ac:dyDescent="0.25">
      <c r="L680" s="8"/>
      <c r="M680" s="8"/>
      <c r="N680" s="8"/>
      <c r="O680" s="8"/>
      <c r="P680" s="8"/>
    </row>
    <row r="681" spans="12:16" s="1" customFormat="1" x14ac:dyDescent="0.25">
      <c r="L681" s="8"/>
      <c r="M681" s="8"/>
      <c r="N681" s="8"/>
      <c r="O681" s="8"/>
      <c r="P681" s="8"/>
    </row>
    <row r="682" spans="12:16" s="1" customFormat="1" x14ac:dyDescent="0.25">
      <c r="L682" s="8"/>
      <c r="M682" s="8"/>
      <c r="N682" s="8"/>
      <c r="O682" s="8"/>
      <c r="P682" s="8"/>
    </row>
    <row r="683" spans="12:16" s="1" customFormat="1" x14ac:dyDescent="0.25">
      <c r="L683" s="8"/>
      <c r="M683" s="8"/>
      <c r="N683" s="8"/>
      <c r="O683" s="8"/>
      <c r="P683" s="8"/>
    </row>
    <row r="684" spans="12:16" s="1" customFormat="1" x14ac:dyDescent="0.25">
      <c r="L684" s="8"/>
      <c r="M684" s="8"/>
      <c r="N684" s="8"/>
      <c r="O684" s="8"/>
      <c r="P684" s="8"/>
    </row>
    <row r="685" spans="12:16" s="1" customFormat="1" x14ac:dyDescent="0.25">
      <c r="L685" s="8"/>
      <c r="M685" s="8"/>
      <c r="N685" s="8"/>
      <c r="O685" s="8"/>
      <c r="P685" s="8"/>
    </row>
    <row r="686" spans="12:16" s="1" customFormat="1" x14ac:dyDescent="0.25">
      <c r="L686" s="8"/>
      <c r="M686" s="8"/>
      <c r="N686" s="8"/>
      <c r="O686" s="8"/>
      <c r="P686" s="8"/>
    </row>
    <row r="687" spans="12:16" s="1" customFormat="1" x14ac:dyDescent="0.25">
      <c r="L687" s="8"/>
      <c r="M687" s="8"/>
      <c r="N687" s="8"/>
      <c r="O687" s="8"/>
      <c r="P687" s="8"/>
    </row>
    <row r="688" spans="12:16" s="1" customFormat="1" x14ac:dyDescent="0.25">
      <c r="L688" s="8"/>
      <c r="M688" s="8"/>
      <c r="N688" s="8"/>
      <c r="O688" s="8"/>
      <c r="P688" s="8"/>
    </row>
    <row r="689" spans="12:16" s="1" customFormat="1" x14ac:dyDescent="0.25">
      <c r="L689" s="8"/>
      <c r="M689" s="8"/>
      <c r="N689" s="8"/>
      <c r="O689" s="8"/>
      <c r="P689" s="8"/>
    </row>
    <row r="690" spans="12:16" s="1" customFormat="1" x14ac:dyDescent="0.25">
      <c r="L690" s="8"/>
      <c r="M690" s="8"/>
      <c r="N690" s="8"/>
      <c r="O690" s="8"/>
      <c r="P690" s="8"/>
    </row>
    <row r="691" spans="12:16" s="1" customFormat="1" x14ac:dyDescent="0.25">
      <c r="L691" s="8"/>
      <c r="M691" s="8"/>
      <c r="N691" s="8"/>
      <c r="O691" s="8"/>
      <c r="P691" s="8"/>
    </row>
    <row r="692" spans="12:16" s="1" customFormat="1" x14ac:dyDescent="0.25">
      <c r="L692" s="8"/>
      <c r="M692" s="8"/>
      <c r="N692" s="8"/>
      <c r="O692" s="8"/>
      <c r="P692" s="8"/>
    </row>
    <row r="693" spans="12:16" s="1" customFormat="1" x14ac:dyDescent="0.25">
      <c r="L693" s="8"/>
      <c r="M693" s="8"/>
      <c r="N693" s="8"/>
      <c r="O693" s="8"/>
      <c r="P693" s="8"/>
    </row>
    <row r="694" spans="12:16" s="1" customFormat="1" x14ac:dyDescent="0.25">
      <c r="L694" s="8"/>
      <c r="M694" s="8"/>
      <c r="N694" s="8"/>
      <c r="O694" s="8"/>
      <c r="P694" s="8"/>
    </row>
    <row r="695" spans="12:16" s="1" customFormat="1" x14ac:dyDescent="0.25">
      <c r="L695" s="8"/>
      <c r="M695" s="8"/>
      <c r="N695" s="8"/>
      <c r="O695" s="8"/>
      <c r="P695" s="8"/>
    </row>
    <row r="696" spans="12:16" s="1" customFormat="1" x14ac:dyDescent="0.25">
      <c r="L696" s="8"/>
      <c r="M696" s="8"/>
      <c r="N696" s="8"/>
      <c r="O696" s="8"/>
      <c r="P696" s="8"/>
    </row>
    <row r="697" spans="12:16" s="1" customFormat="1" x14ac:dyDescent="0.25">
      <c r="L697" s="8"/>
      <c r="M697" s="8"/>
      <c r="N697" s="8"/>
      <c r="O697" s="8"/>
      <c r="P697" s="8"/>
    </row>
    <row r="698" spans="12:16" s="1" customFormat="1" x14ac:dyDescent="0.25">
      <c r="L698" s="8"/>
      <c r="M698" s="8"/>
      <c r="N698" s="8"/>
      <c r="O698" s="8"/>
      <c r="P698" s="8"/>
    </row>
    <row r="699" spans="12:16" s="1" customFormat="1" x14ac:dyDescent="0.25">
      <c r="L699" s="8"/>
      <c r="M699" s="8"/>
      <c r="N699" s="8"/>
      <c r="O699" s="8"/>
      <c r="P699" s="8"/>
    </row>
    <row r="700" spans="12:16" s="1" customFormat="1" x14ac:dyDescent="0.25">
      <c r="L700" s="8"/>
      <c r="M700" s="8"/>
      <c r="N700" s="8"/>
      <c r="O700" s="8"/>
      <c r="P700" s="8"/>
    </row>
    <row r="701" spans="12:16" s="1" customFormat="1" x14ac:dyDescent="0.25">
      <c r="L701" s="8"/>
      <c r="M701" s="8"/>
      <c r="N701" s="8"/>
      <c r="O701" s="8"/>
      <c r="P701" s="8"/>
    </row>
    <row r="702" spans="12:16" s="1" customFormat="1" x14ac:dyDescent="0.25">
      <c r="L702" s="8"/>
      <c r="M702" s="8"/>
      <c r="N702" s="8"/>
      <c r="O702" s="8"/>
      <c r="P702" s="8"/>
    </row>
    <row r="703" spans="12:16" s="1" customFormat="1" x14ac:dyDescent="0.25">
      <c r="L703" s="8"/>
      <c r="M703" s="8"/>
      <c r="N703" s="8"/>
      <c r="O703" s="8"/>
      <c r="P703" s="8"/>
    </row>
    <row r="704" spans="12:16" s="1" customFormat="1" x14ac:dyDescent="0.25">
      <c r="L704" s="8"/>
      <c r="M704" s="8"/>
      <c r="N704" s="8"/>
      <c r="O704" s="8"/>
      <c r="P704" s="8"/>
    </row>
    <row r="705" spans="12:16" s="1" customFormat="1" x14ac:dyDescent="0.25">
      <c r="L705" s="8"/>
      <c r="M705" s="8"/>
      <c r="N705" s="8"/>
      <c r="O705" s="8"/>
      <c r="P705" s="8"/>
    </row>
    <row r="706" spans="12:16" s="1" customFormat="1" x14ac:dyDescent="0.25">
      <c r="L706" s="8"/>
      <c r="M706" s="8"/>
      <c r="N706" s="8"/>
      <c r="O706" s="8"/>
      <c r="P706" s="8"/>
    </row>
    <row r="707" spans="12:16" s="1" customFormat="1" x14ac:dyDescent="0.25">
      <c r="L707" s="8"/>
      <c r="M707" s="8"/>
      <c r="N707" s="8"/>
      <c r="O707" s="8"/>
      <c r="P707" s="8"/>
    </row>
    <row r="708" spans="12:16" s="1" customFormat="1" x14ac:dyDescent="0.25">
      <c r="L708" s="8"/>
      <c r="M708" s="8"/>
      <c r="N708" s="8"/>
      <c r="O708" s="8"/>
      <c r="P708" s="8"/>
    </row>
    <row r="709" spans="12:16" s="1" customFormat="1" x14ac:dyDescent="0.25">
      <c r="L709" s="8"/>
      <c r="M709" s="8"/>
      <c r="N709" s="8"/>
      <c r="O709" s="8"/>
      <c r="P709" s="8"/>
    </row>
    <row r="710" spans="12:16" s="1" customFormat="1" x14ac:dyDescent="0.25">
      <c r="L710" s="8"/>
      <c r="M710" s="8"/>
      <c r="N710" s="8"/>
      <c r="O710" s="8"/>
      <c r="P710" s="8"/>
    </row>
    <row r="711" spans="12:16" s="1" customFormat="1" x14ac:dyDescent="0.25">
      <c r="L711" s="8"/>
      <c r="M711" s="8"/>
      <c r="N711" s="8"/>
      <c r="O711" s="8"/>
      <c r="P711" s="8"/>
    </row>
    <row r="712" spans="12:16" s="1" customFormat="1" x14ac:dyDescent="0.25">
      <c r="L712" s="8"/>
      <c r="M712" s="8"/>
      <c r="N712" s="8"/>
      <c r="O712" s="8"/>
      <c r="P712" s="8"/>
    </row>
    <row r="713" spans="12:16" s="1" customFormat="1" x14ac:dyDescent="0.25">
      <c r="L713" s="8"/>
      <c r="M713" s="8"/>
      <c r="N713" s="8"/>
      <c r="O713" s="8"/>
      <c r="P713" s="8"/>
    </row>
    <row r="714" spans="12:16" s="1" customFormat="1" x14ac:dyDescent="0.25">
      <c r="L714" s="8"/>
      <c r="M714" s="8"/>
      <c r="N714" s="8"/>
      <c r="O714" s="8"/>
      <c r="P714" s="8"/>
    </row>
    <row r="715" spans="12:16" s="1" customFormat="1" x14ac:dyDescent="0.25">
      <c r="L715" s="8"/>
      <c r="M715" s="8"/>
      <c r="N715" s="8"/>
      <c r="O715" s="8"/>
      <c r="P715" s="8"/>
    </row>
    <row r="716" spans="12:16" s="1" customFormat="1" x14ac:dyDescent="0.25">
      <c r="L716" s="8"/>
      <c r="M716" s="8"/>
      <c r="N716" s="8"/>
      <c r="O716" s="8"/>
      <c r="P716" s="8"/>
    </row>
    <row r="717" spans="12:16" s="1" customFormat="1" x14ac:dyDescent="0.25">
      <c r="L717" s="8"/>
      <c r="M717" s="8"/>
      <c r="N717" s="8"/>
      <c r="O717" s="8"/>
      <c r="P717" s="8"/>
    </row>
    <row r="718" spans="12:16" s="1" customFormat="1" x14ac:dyDescent="0.25">
      <c r="L718" s="8"/>
      <c r="M718" s="8"/>
      <c r="N718" s="8"/>
      <c r="O718" s="8"/>
      <c r="P718" s="8"/>
    </row>
    <row r="719" spans="12:16" s="1" customFormat="1" x14ac:dyDescent="0.25">
      <c r="L719" s="8"/>
      <c r="M719" s="8"/>
      <c r="N719" s="8"/>
      <c r="O719" s="8"/>
      <c r="P719" s="8"/>
    </row>
    <row r="720" spans="12:16" s="1" customFormat="1" x14ac:dyDescent="0.25">
      <c r="L720" s="8"/>
      <c r="M720" s="8"/>
      <c r="N720" s="8"/>
      <c r="O720" s="8"/>
      <c r="P720" s="8"/>
    </row>
    <row r="721" spans="12:16" s="1" customFormat="1" x14ac:dyDescent="0.25">
      <c r="L721" s="8"/>
      <c r="M721" s="8"/>
      <c r="N721" s="8"/>
      <c r="O721" s="8"/>
      <c r="P721" s="8"/>
    </row>
    <row r="722" spans="12:16" s="1" customFormat="1" x14ac:dyDescent="0.25">
      <c r="L722" s="8"/>
      <c r="M722" s="8"/>
      <c r="N722" s="8"/>
      <c r="O722" s="8"/>
      <c r="P722" s="8"/>
    </row>
    <row r="723" spans="12:16" s="1" customFormat="1" x14ac:dyDescent="0.25">
      <c r="L723" s="8"/>
      <c r="M723" s="8"/>
      <c r="N723" s="8"/>
      <c r="O723" s="8"/>
      <c r="P723" s="8"/>
    </row>
    <row r="724" spans="12:16" s="1" customFormat="1" x14ac:dyDescent="0.25">
      <c r="L724" s="8"/>
      <c r="M724" s="8"/>
      <c r="N724" s="8"/>
      <c r="O724" s="8"/>
      <c r="P724" s="8"/>
    </row>
    <row r="725" spans="12:16" s="1" customFormat="1" x14ac:dyDescent="0.25">
      <c r="L725" s="8"/>
      <c r="M725" s="8"/>
      <c r="N725" s="8"/>
      <c r="O725" s="8"/>
      <c r="P725" s="8"/>
    </row>
    <row r="726" spans="12:16" s="1" customFormat="1" x14ac:dyDescent="0.25">
      <c r="L726" s="8"/>
      <c r="M726" s="8"/>
      <c r="N726" s="8"/>
      <c r="O726" s="8"/>
      <c r="P726" s="8"/>
    </row>
    <row r="727" spans="12:16" s="1" customFormat="1" x14ac:dyDescent="0.25">
      <c r="L727" s="8"/>
      <c r="M727" s="8"/>
      <c r="N727" s="8"/>
      <c r="O727" s="8"/>
      <c r="P727" s="8"/>
    </row>
    <row r="728" spans="12:16" s="1" customFormat="1" x14ac:dyDescent="0.25">
      <c r="L728" s="8"/>
      <c r="M728" s="8"/>
      <c r="N728" s="8"/>
      <c r="O728" s="8"/>
      <c r="P728" s="8"/>
    </row>
    <row r="729" spans="12:16" s="1" customFormat="1" x14ac:dyDescent="0.25">
      <c r="L729" s="8"/>
      <c r="M729" s="8"/>
      <c r="N729" s="8"/>
      <c r="O729" s="8"/>
      <c r="P729" s="8"/>
    </row>
    <row r="730" spans="12:16" s="1" customFormat="1" x14ac:dyDescent="0.25">
      <c r="L730" s="8"/>
      <c r="M730" s="8"/>
      <c r="N730" s="8"/>
      <c r="O730" s="8"/>
      <c r="P730" s="8"/>
    </row>
    <row r="731" spans="12:16" s="1" customFormat="1" x14ac:dyDescent="0.25">
      <c r="L731" s="8"/>
      <c r="M731" s="8"/>
      <c r="N731" s="8"/>
      <c r="O731" s="8"/>
      <c r="P731" s="8"/>
    </row>
    <row r="732" spans="12:16" s="1" customFormat="1" x14ac:dyDescent="0.25">
      <c r="L732" s="8"/>
      <c r="M732" s="8"/>
      <c r="N732" s="8"/>
      <c r="O732" s="8"/>
      <c r="P732" s="8"/>
    </row>
    <row r="733" spans="12:16" s="1" customFormat="1" x14ac:dyDescent="0.25">
      <c r="L733" s="8"/>
      <c r="M733" s="8"/>
      <c r="N733" s="8"/>
      <c r="O733" s="8"/>
      <c r="P733" s="8"/>
    </row>
    <row r="734" spans="12:16" s="1" customFormat="1" x14ac:dyDescent="0.25">
      <c r="L734" s="8"/>
      <c r="M734" s="8"/>
      <c r="N734" s="8"/>
      <c r="O734" s="8"/>
      <c r="P734" s="8"/>
    </row>
    <row r="735" spans="12:16" s="1" customFormat="1" x14ac:dyDescent="0.25">
      <c r="L735" s="8"/>
      <c r="M735" s="8"/>
      <c r="N735" s="8"/>
      <c r="O735" s="8"/>
      <c r="P735" s="8"/>
    </row>
    <row r="736" spans="12:16" s="1" customFormat="1" x14ac:dyDescent="0.25">
      <c r="L736" s="8"/>
      <c r="M736" s="8"/>
      <c r="N736" s="8"/>
      <c r="O736" s="8"/>
      <c r="P736" s="8"/>
    </row>
    <row r="737" spans="12:16" s="1" customFormat="1" x14ac:dyDescent="0.25">
      <c r="L737" s="8"/>
      <c r="M737" s="8"/>
      <c r="N737" s="8"/>
      <c r="O737" s="8"/>
      <c r="P737" s="8"/>
    </row>
    <row r="738" spans="12:16" s="1" customFormat="1" x14ac:dyDescent="0.25">
      <c r="L738" s="8"/>
      <c r="M738" s="8"/>
      <c r="N738" s="8"/>
      <c r="O738" s="8"/>
      <c r="P738" s="8"/>
    </row>
    <row r="739" spans="12:16" s="1" customFormat="1" x14ac:dyDescent="0.25">
      <c r="L739" s="8"/>
      <c r="M739" s="8"/>
      <c r="N739" s="8"/>
      <c r="O739" s="8"/>
      <c r="P739" s="8"/>
    </row>
    <row r="740" spans="12:16" s="1" customFormat="1" x14ac:dyDescent="0.25">
      <c r="L740" s="8"/>
      <c r="M740" s="8"/>
      <c r="N740" s="8"/>
      <c r="O740" s="8"/>
      <c r="P740" s="8"/>
    </row>
    <row r="741" spans="12:16" s="1" customFormat="1" x14ac:dyDescent="0.25">
      <c r="L741" s="8"/>
      <c r="M741" s="8"/>
      <c r="N741" s="8"/>
      <c r="O741" s="8"/>
      <c r="P741" s="8"/>
    </row>
    <row r="742" spans="12:16" s="1" customFormat="1" x14ac:dyDescent="0.25">
      <c r="L742" s="8"/>
      <c r="M742" s="8"/>
      <c r="N742" s="8"/>
      <c r="O742" s="8"/>
      <c r="P742" s="8"/>
    </row>
    <row r="743" spans="12:16" s="1" customFormat="1" x14ac:dyDescent="0.25">
      <c r="L743" s="8"/>
      <c r="M743" s="8"/>
      <c r="N743" s="8"/>
      <c r="O743" s="8"/>
      <c r="P743" s="8"/>
    </row>
    <row r="744" spans="12:16" s="1" customFormat="1" x14ac:dyDescent="0.25">
      <c r="L744" s="8"/>
      <c r="M744" s="8"/>
      <c r="N744" s="8"/>
      <c r="O744" s="8"/>
      <c r="P744" s="8"/>
    </row>
    <row r="745" spans="12:16" s="1" customFormat="1" x14ac:dyDescent="0.25">
      <c r="L745" s="8"/>
      <c r="M745" s="8"/>
      <c r="N745" s="8"/>
      <c r="O745" s="8"/>
      <c r="P745" s="8"/>
    </row>
    <row r="746" spans="12:16" s="1" customFormat="1" x14ac:dyDescent="0.25">
      <c r="L746" s="8"/>
      <c r="M746" s="8"/>
      <c r="N746" s="8"/>
      <c r="O746" s="8"/>
      <c r="P746" s="8"/>
    </row>
    <row r="747" spans="12:16" s="1" customFormat="1" x14ac:dyDescent="0.25">
      <c r="L747" s="8"/>
      <c r="M747" s="8"/>
      <c r="N747" s="8"/>
      <c r="O747" s="8"/>
      <c r="P747" s="8"/>
    </row>
    <row r="748" spans="12:16" s="1" customFormat="1" x14ac:dyDescent="0.25">
      <c r="L748" s="8"/>
      <c r="M748" s="8"/>
      <c r="N748" s="8"/>
      <c r="O748" s="8"/>
      <c r="P748" s="8"/>
    </row>
    <row r="749" spans="12:16" s="1" customFormat="1" x14ac:dyDescent="0.25">
      <c r="L749" s="8"/>
      <c r="M749" s="8"/>
      <c r="N749" s="8"/>
      <c r="O749" s="8"/>
      <c r="P749" s="8"/>
    </row>
    <row r="750" spans="12:16" s="1" customFormat="1" x14ac:dyDescent="0.25">
      <c r="L750" s="8"/>
      <c r="M750" s="8"/>
      <c r="N750" s="8"/>
      <c r="O750" s="8"/>
      <c r="P750" s="8"/>
    </row>
    <row r="751" spans="12:16" s="1" customFormat="1" x14ac:dyDescent="0.25">
      <c r="L751" s="8"/>
      <c r="M751" s="8"/>
      <c r="N751" s="8"/>
      <c r="O751" s="8"/>
      <c r="P751" s="8"/>
    </row>
    <row r="752" spans="12:16" s="1" customFormat="1" x14ac:dyDescent="0.25">
      <c r="L752" s="8"/>
      <c r="M752" s="8"/>
      <c r="N752" s="8"/>
      <c r="O752" s="8"/>
      <c r="P752" s="8"/>
    </row>
    <row r="753" spans="12:16" s="1" customFormat="1" x14ac:dyDescent="0.25">
      <c r="L753" s="8"/>
      <c r="M753" s="8"/>
      <c r="N753" s="8"/>
      <c r="O753" s="8"/>
      <c r="P753" s="8"/>
    </row>
    <row r="754" spans="12:16" s="1" customFormat="1" x14ac:dyDescent="0.25">
      <c r="L754" s="8"/>
      <c r="M754" s="8"/>
      <c r="N754" s="8"/>
      <c r="O754" s="8"/>
      <c r="P754" s="8"/>
    </row>
    <row r="755" spans="12:16" s="1" customFormat="1" x14ac:dyDescent="0.25">
      <c r="L755" s="8"/>
      <c r="M755" s="8"/>
      <c r="N755" s="8"/>
      <c r="O755" s="8"/>
      <c r="P755" s="8"/>
    </row>
    <row r="756" spans="12:16" s="1" customFormat="1" x14ac:dyDescent="0.25">
      <c r="L756" s="8"/>
      <c r="M756" s="8"/>
      <c r="N756" s="8"/>
      <c r="O756" s="8"/>
      <c r="P756" s="8"/>
    </row>
    <row r="757" spans="12:16" s="1" customFormat="1" x14ac:dyDescent="0.25">
      <c r="L757" s="8"/>
      <c r="M757" s="8"/>
      <c r="N757" s="8"/>
      <c r="O757" s="8"/>
      <c r="P757" s="8"/>
    </row>
    <row r="758" spans="12:16" s="1" customFormat="1" x14ac:dyDescent="0.25">
      <c r="L758" s="8"/>
      <c r="M758" s="8"/>
      <c r="N758" s="8"/>
      <c r="O758" s="8"/>
      <c r="P758" s="8"/>
    </row>
    <row r="759" spans="12:16" s="1" customFormat="1" x14ac:dyDescent="0.25">
      <c r="L759" s="8"/>
      <c r="M759" s="8"/>
      <c r="N759" s="8"/>
      <c r="O759" s="8"/>
      <c r="P759" s="8"/>
    </row>
    <row r="760" spans="12:16" s="1" customFormat="1" x14ac:dyDescent="0.25">
      <c r="L760" s="8"/>
      <c r="M760" s="8"/>
      <c r="N760" s="8"/>
      <c r="O760" s="8"/>
      <c r="P760" s="8"/>
    </row>
    <row r="761" spans="12:16" s="1" customFormat="1" x14ac:dyDescent="0.25">
      <c r="L761" s="8"/>
      <c r="M761" s="8"/>
      <c r="N761" s="8"/>
      <c r="O761" s="8"/>
      <c r="P761" s="8"/>
    </row>
    <row r="762" spans="12:16" s="1" customFormat="1" x14ac:dyDescent="0.25">
      <c r="L762" s="8"/>
      <c r="M762" s="8"/>
      <c r="N762" s="8"/>
      <c r="O762" s="8"/>
      <c r="P762" s="8"/>
    </row>
    <row r="763" spans="12:16" s="1" customFormat="1" x14ac:dyDescent="0.25">
      <c r="L763" s="8"/>
      <c r="M763" s="8"/>
      <c r="N763" s="8"/>
      <c r="O763" s="8"/>
      <c r="P763" s="8"/>
    </row>
    <row r="764" spans="12:16" s="1" customFormat="1" x14ac:dyDescent="0.25">
      <c r="L764" s="8"/>
      <c r="M764" s="8"/>
      <c r="N764" s="8"/>
      <c r="O764" s="8"/>
      <c r="P764" s="8"/>
    </row>
    <row r="765" spans="12:16" s="1" customFormat="1" x14ac:dyDescent="0.25">
      <c r="L765" s="8"/>
      <c r="M765" s="8"/>
      <c r="N765" s="8"/>
      <c r="O765" s="8"/>
      <c r="P765" s="8"/>
    </row>
    <row r="766" spans="12:16" s="1" customFormat="1" x14ac:dyDescent="0.25">
      <c r="L766" s="8"/>
      <c r="M766" s="8"/>
      <c r="N766" s="8"/>
      <c r="O766" s="8"/>
      <c r="P766" s="8"/>
    </row>
    <row r="767" spans="12:16" s="1" customFormat="1" x14ac:dyDescent="0.25">
      <c r="L767" s="8"/>
      <c r="M767" s="8"/>
      <c r="N767" s="8"/>
      <c r="O767" s="8"/>
      <c r="P767" s="8"/>
    </row>
    <row r="768" spans="12:16" s="1" customFormat="1" x14ac:dyDescent="0.25">
      <c r="L768" s="8"/>
      <c r="M768" s="8"/>
      <c r="N768" s="8"/>
      <c r="O768" s="8"/>
      <c r="P768" s="8"/>
    </row>
    <row r="769" spans="12:16" s="1" customFormat="1" x14ac:dyDescent="0.25">
      <c r="L769" s="8"/>
      <c r="M769" s="8"/>
      <c r="N769" s="8"/>
      <c r="O769" s="8"/>
      <c r="P769" s="8"/>
    </row>
    <row r="770" spans="12:16" s="1" customFormat="1" x14ac:dyDescent="0.25">
      <c r="L770" s="8"/>
      <c r="M770" s="8"/>
      <c r="N770" s="8"/>
      <c r="O770" s="8"/>
      <c r="P770" s="8"/>
    </row>
    <row r="771" spans="12:16" s="1" customFormat="1" x14ac:dyDescent="0.25">
      <c r="L771" s="8"/>
      <c r="M771" s="8"/>
      <c r="N771" s="8"/>
      <c r="O771" s="8"/>
      <c r="P771" s="8"/>
    </row>
    <row r="772" spans="12:16" s="1" customFormat="1" x14ac:dyDescent="0.25">
      <c r="L772" s="8"/>
      <c r="M772" s="8"/>
      <c r="N772" s="8"/>
      <c r="O772" s="8"/>
      <c r="P772" s="8"/>
    </row>
    <row r="773" spans="12:16" s="1" customFormat="1" x14ac:dyDescent="0.25">
      <c r="L773" s="8"/>
      <c r="M773" s="8"/>
      <c r="N773" s="8"/>
      <c r="O773" s="8"/>
      <c r="P773" s="8"/>
    </row>
    <row r="774" spans="12:16" s="1" customFormat="1" x14ac:dyDescent="0.25">
      <c r="L774" s="8"/>
      <c r="M774" s="8"/>
      <c r="N774" s="8"/>
      <c r="O774" s="8"/>
      <c r="P774" s="8"/>
    </row>
    <row r="775" spans="12:16" s="1" customFormat="1" x14ac:dyDescent="0.25">
      <c r="L775" s="8"/>
      <c r="M775" s="8"/>
      <c r="N775" s="8"/>
      <c r="O775" s="8"/>
      <c r="P775" s="8"/>
    </row>
    <row r="776" spans="12:16" s="1" customFormat="1" x14ac:dyDescent="0.25">
      <c r="L776" s="8"/>
      <c r="M776" s="8"/>
      <c r="N776" s="8"/>
      <c r="O776" s="8"/>
      <c r="P776" s="8"/>
    </row>
    <row r="777" spans="12:16" s="1" customFormat="1" x14ac:dyDescent="0.25">
      <c r="L777" s="8"/>
      <c r="M777" s="8"/>
      <c r="N777" s="8"/>
      <c r="O777" s="8"/>
      <c r="P777" s="8"/>
    </row>
    <row r="778" spans="12:16" s="1" customFormat="1" x14ac:dyDescent="0.25">
      <c r="L778" s="8"/>
      <c r="M778" s="8"/>
      <c r="N778" s="8"/>
      <c r="O778" s="8"/>
      <c r="P778" s="8"/>
    </row>
    <row r="779" spans="12:16" s="1" customFormat="1" x14ac:dyDescent="0.25">
      <c r="L779" s="8"/>
      <c r="M779" s="8"/>
      <c r="N779" s="8"/>
      <c r="O779" s="8"/>
      <c r="P779" s="8"/>
    </row>
    <row r="780" spans="12:16" s="1" customFormat="1" x14ac:dyDescent="0.25">
      <c r="L780" s="8"/>
      <c r="M780" s="8"/>
      <c r="N780" s="8"/>
      <c r="O780" s="8"/>
      <c r="P780" s="8"/>
    </row>
    <row r="781" spans="12:16" s="1" customFormat="1" x14ac:dyDescent="0.25">
      <c r="L781" s="8"/>
      <c r="M781" s="8"/>
      <c r="N781" s="8"/>
      <c r="O781" s="8"/>
      <c r="P781" s="8"/>
    </row>
    <row r="782" spans="12:16" s="1" customFormat="1" x14ac:dyDescent="0.25">
      <c r="L782" s="8"/>
      <c r="M782" s="8"/>
      <c r="N782" s="8"/>
      <c r="O782" s="8"/>
      <c r="P782" s="8"/>
    </row>
    <row r="783" spans="12:16" s="1" customFormat="1" x14ac:dyDescent="0.25">
      <c r="L783" s="8"/>
      <c r="M783" s="8"/>
      <c r="N783" s="8"/>
      <c r="O783" s="8"/>
      <c r="P783" s="8"/>
    </row>
    <row r="784" spans="12:16" s="1" customFormat="1" x14ac:dyDescent="0.25">
      <c r="L784" s="8"/>
      <c r="M784" s="8"/>
      <c r="N784" s="8"/>
      <c r="O784" s="8"/>
      <c r="P784" s="8"/>
    </row>
    <row r="785" spans="12:16" s="1" customFormat="1" x14ac:dyDescent="0.25">
      <c r="L785" s="8"/>
      <c r="M785" s="8"/>
      <c r="N785" s="8"/>
      <c r="O785" s="8"/>
      <c r="P785" s="8"/>
    </row>
    <row r="786" spans="12:16" s="1" customFormat="1" x14ac:dyDescent="0.25">
      <c r="L786" s="8"/>
      <c r="M786" s="8"/>
      <c r="N786" s="8"/>
      <c r="O786" s="8"/>
      <c r="P786" s="8"/>
    </row>
    <row r="787" spans="12:16" s="1" customFormat="1" x14ac:dyDescent="0.25">
      <c r="L787" s="8"/>
      <c r="M787" s="8"/>
      <c r="N787" s="8"/>
      <c r="O787" s="8"/>
      <c r="P787" s="8"/>
    </row>
    <row r="788" spans="12:16" s="1" customFormat="1" x14ac:dyDescent="0.25">
      <c r="L788" s="8"/>
      <c r="M788" s="8"/>
      <c r="N788" s="8"/>
      <c r="O788" s="8"/>
      <c r="P788" s="8"/>
    </row>
    <row r="789" spans="12:16" s="1" customFormat="1" x14ac:dyDescent="0.25">
      <c r="L789" s="8"/>
      <c r="M789" s="8"/>
      <c r="N789" s="8"/>
      <c r="O789" s="8"/>
      <c r="P789" s="8"/>
    </row>
    <row r="790" spans="12:16" s="1" customFormat="1" x14ac:dyDescent="0.25">
      <c r="L790" s="8"/>
      <c r="M790" s="8"/>
      <c r="N790" s="8"/>
      <c r="O790" s="8"/>
      <c r="P790" s="8"/>
    </row>
    <row r="791" spans="12:16" s="1" customFormat="1" x14ac:dyDescent="0.25">
      <c r="L791" s="8"/>
      <c r="M791" s="8"/>
      <c r="N791" s="8"/>
      <c r="O791" s="8"/>
      <c r="P791" s="8"/>
    </row>
    <row r="792" spans="12:16" s="1" customFormat="1" x14ac:dyDescent="0.25">
      <c r="L792" s="8"/>
      <c r="M792" s="8"/>
      <c r="N792" s="8"/>
      <c r="O792" s="8"/>
      <c r="P792" s="8"/>
    </row>
    <row r="793" spans="12:16" s="1" customFormat="1" x14ac:dyDescent="0.25">
      <c r="L793" s="8"/>
      <c r="M793" s="8"/>
      <c r="N793" s="8"/>
      <c r="O793" s="8"/>
      <c r="P793" s="8"/>
    </row>
    <row r="794" spans="12:16" s="1" customFormat="1" x14ac:dyDescent="0.25">
      <c r="L794" s="8"/>
      <c r="M794" s="8"/>
      <c r="N794" s="8"/>
      <c r="O794" s="8"/>
      <c r="P794" s="8"/>
    </row>
    <row r="795" spans="12:16" s="1" customFormat="1" x14ac:dyDescent="0.25">
      <c r="L795" s="8"/>
      <c r="M795" s="8"/>
      <c r="N795" s="8"/>
      <c r="O795" s="8"/>
      <c r="P795" s="8"/>
    </row>
    <row r="796" spans="12:16" s="1" customFormat="1" x14ac:dyDescent="0.25">
      <c r="L796" s="8"/>
      <c r="M796" s="8"/>
      <c r="N796" s="8"/>
      <c r="O796" s="8"/>
      <c r="P796" s="8"/>
    </row>
    <row r="797" spans="12:16" s="1" customFormat="1" x14ac:dyDescent="0.25">
      <c r="L797" s="8"/>
      <c r="M797" s="8"/>
      <c r="N797" s="8"/>
      <c r="O797" s="8"/>
      <c r="P797" s="8"/>
    </row>
    <row r="798" spans="12:16" s="1" customFormat="1" x14ac:dyDescent="0.25">
      <c r="L798" s="8"/>
      <c r="M798" s="8"/>
      <c r="N798" s="8"/>
      <c r="O798" s="8"/>
      <c r="P798" s="8"/>
    </row>
    <row r="799" spans="12:16" s="1" customFormat="1" x14ac:dyDescent="0.25">
      <c r="L799" s="8"/>
      <c r="M799" s="8"/>
      <c r="N799" s="8"/>
      <c r="O799" s="8"/>
      <c r="P799" s="8"/>
    </row>
    <row r="800" spans="12:16" s="1" customFormat="1" x14ac:dyDescent="0.25">
      <c r="L800" s="8"/>
      <c r="M800" s="8"/>
      <c r="N800" s="8"/>
      <c r="O800" s="8"/>
      <c r="P800" s="8"/>
    </row>
    <row r="801" spans="12:16" s="1" customFormat="1" x14ac:dyDescent="0.25">
      <c r="L801" s="8"/>
      <c r="M801" s="8"/>
      <c r="N801" s="8"/>
      <c r="O801" s="8"/>
      <c r="P801" s="8"/>
    </row>
    <row r="802" spans="12:16" s="1" customFormat="1" x14ac:dyDescent="0.25">
      <c r="L802" s="8"/>
      <c r="M802" s="8"/>
      <c r="N802" s="8"/>
      <c r="O802" s="8"/>
      <c r="P802" s="8"/>
    </row>
    <row r="803" spans="12:16" s="1" customFormat="1" x14ac:dyDescent="0.25">
      <c r="L803" s="8"/>
      <c r="M803" s="8"/>
      <c r="N803" s="8"/>
      <c r="O803" s="8"/>
      <c r="P803" s="8"/>
    </row>
    <row r="804" spans="12:16" s="1" customFormat="1" x14ac:dyDescent="0.25">
      <c r="L804" s="8"/>
      <c r="M804" s="8"/>
      <c r="N804" s="8"/>
      <c r="O804" s="8"/>
      <c r="P804" s="8"/>
    </row>
    <row r="805" spans="12:16" s="1" customFormat="1" x14ac:dyDescent="0.25">
      <c r="L805" s="8"/>
      <c r="M805" s="8"/>
      <c r="N805" s="8"/>
      <c r="O805" s="8"/>
      <c r="P805" s="8"/>
    </row>
    <row r="806" spans="12:16" s="1" customFormat="1" x14ac:dyDescent="0.25">
      <c r="L806" s="8"/>
      <c r="M806" s="8"/>
      <c r="N806" s="8"/>
      <c r="O806" s="8"/>
      <c r="P806" s="8"/>
    </row>
    <row r="807" spans="12:16" s="1" customFormat="1" x14ac:dyDescent="0.25">
      <c r="L807" s="8"/>
      <c r="M807" s="8"/>
      <c r="N807" s="8"/>
      <c r="O807" s="8"/>
      <c r="P807" s="8"/>
    </row>
    <row r="808" spans="12:16" s="1" customFormat="1" x14ac:dyDescent="0.25">
      <c r="L808" s="8"/>
      <c r="M808" s="8"/>
      <c r="N808" s="8"/>
      <c r="O808" s="8"/>
      <c r="P808" s="8"/>
    </row>
    <row r="809" spans="12:16" s="1" customFormat="1" x14ac:dyDescent="0.25">
      <c r="L809" s="8"/>
      <c r="M809" s="8"/>
      <c r="N809" s="8"/>
      <c r="O809" s="8"/>
      <c r="P809" s="8"/>
    </row>
    <row r="810" spans="12:16" s="1" customFormat="1" x14ac:dyDescent="0.25">
      <c r="L810" s="8"/>
      <c r="M810" s="8"/>
      <c r="N810" s="8"/>
      <c r="O810" s="8"/>
      <c r="P810" s="8"/>
    </row>
    <row r="811" spans="12:16" s="1" customFormat="1" x14ac:dyDescent="0.25">
      <c r="L811" s="8"/>
      <c r="M811" s="8"/>
      <c r="N811" s="8"/>
      <c r="O811" s="8"/>
      <c r="P811" s="8"/>
    </row>
    <row r="812" spans="12:16" s="1" customFormat="1" x14ac:dyDescent="0.25">
      <c r="L812" s="8"/>
      <c r="M812" s="8"/>
      <c r="N812" s="8"/>
      <c r="O812" s="8"/>
      <c r="P812" s="8"/>
    </row>
    <row r="813" spans="12:16" s="1" customFormat="1" x14ac:dyDescent="0.25">
      <c r="L813" s="8"/>
      <c r="M813" s="8"/>
      <c r="N813" s="8"/>
      <c r="O813" s="8"/>
      <c r="P813" s="8"/>
    </row>
    <row r="814" spans="12:16" s="1" customFormat="1" x14ac:dyDescent="0.25">
      <c r="L814" s="8"/>
      <c r="M814" s="8"/>
      <c r="N814" s="8"/>
      <c r="O814" s="8"/>
      <c r="P814" s="8"/>
    </row>
    <row r="815" spans="12:16" s="1" customFormat="1" x14ac:dyDescent="0.25">
      <c r="L815" s="8"/>
      <c r="M815" s="8"/>
      <c r="N815" s="8"/>
      <c r="O815" s="8"/>
      <c r="P815" s="8"/>
    </row>
    <row r="816" spans="12:16" s="1" customFormat="1" x14ac:dyDescent="0.25">
      <c r="L816" s="8"/>
      <c r="M816" s="8"/>
      <c r="N816" s="8"/>
      <c r="O816" s="8"/>
      <c r="P816" s="8"/>
    </row>
    <row r="817" spans="12:16" s="1" customFormat="1" x14ac:dyDescent="0.25">
      <c r="L817" s="8"/>
      <c r="M817" s="8"/>
      <c r="N817" s="8"/>
      <c r="O817" s="8"/>
      <c r="P817" s="8"/>
    </row>
    <row r="818" spans="12:16" s="1" customFormat="1" x14ac:dyDescent="0.25">
      <c r="L818" s="8"/>
      <c r="M818" s="8"/>
      <c r="N818" s="8"/>
      <c r="O818" s="8"/>
      <c r="P818" s="8"/>
    </row>
    <row r="819" spans="12:16" s="1" customFormat="1" x14ac:dyDescent="0.25">
      <c r="L819" s="8"/>
      <c r="M819" s="8"/>
      <c r="N819" s="8"/>
      <c r="O819" s="8"/>
      <c r="P819" s="8"/>
    </row>
    <row r="820" spans="12:16" s="1" customFormat="1" x14ac:dyDescent="0.25">
      <c r="L820" s="8"/>
      <c r="M820" s="8"/>
      <c r="N820" s="8"/>
      <c r="O820" s="8"/>
      <c r="P820" s="8"/>
    </row>
    <row r="821" spans="12:16" s="1" customFormat="1" x14ac:dyDescent="0.25">
      <c r="L821" s="8"/>
      <c r="M821" s="8"/>
      <c r="N821" s="8"/>
      <c r="O821" s="8"/>
      <c r="P821" s="8"/>
    </row>
    <row r="822" spans="12:16" s="1" customFormat="1" x14ac:dyDescent="0.25">
      <c r="L822" s="8"/>
      <c r="M822" s="8"/>
      <c r="N822" s="8"/>
      <c r="O822" s="8"/>
      <c r="P822" s="8"/>
    </row>
    <row r="823" spans="12:16" s="1" customFormat="1" x14ac:dyDescent="0.25">
      <c r="L823" s="8"/>
      <c r="M823" s="8"/>
      <c r="N823" s="8"/>
      <c r="O823" s="8"/>
      <c r="P823" s="8"/>
    </row>
    <row r="824" spans="12:16" s="1" customFormat="1" x14ac:dyDescent="0.25">
      <c r="L824" s="8"/>
      <c r="M824" s="8"/>
      <c r="N824" s="8"/>
      <c r="O824" s="8"/>
      <c r="P824" s="8"/>
    </row>
    <row r="825" spans="12:16" s="1" customFormat="1" x14ac:dyDescent="0.25">
      <c r="L825" s="8"/>
      <c r="M825" s="8"/>
      <c r="N825" s="8"/>
      <c r="O825" s="8"/>
      <c r="P825" s="8"/>
    </row>
    <row r="826" spans="12:16" s="1" customFormat="1" x14ac:dyDescent="0.25">
      <c r="L826" s="8"/>
      <c r="M826" s="8"/>
      <c r="N826" s="8"/>
      <c r="O826" s="8"/>
      <c r="P826" s="8"/>
    </row>
    <row r="827" spans="12:16" s="1" customFormat="1" x14ac:dyDescent="0.25">
      <c r="L827" s="8"/>
      <c r="M827" s="8"/>
      <c r="N827" s="8"/>
      <c r="O827" s="8"/>
      <c r="P827" s="8"/>
    </row>
    <row r="828" spans="12:16" s="1" customFormat="1" x14ac:dyDescent="0.25">
      <c r="L828" s="8"/>
      <c r="M828" s="8"/>
      <c r="N828" s="8"/>
      <c r="O828" s="8"/>
      <c r="P828" s="8"/>
    </row>
    <row r="829" spans="12:16" s="1" customFormat="1" x14ac:dyDescent="0.25">
      <c r="L829" s="8"/>
      <c r="M829" s="8"/>
      <c r="N829" s="8"/>
      <c r="O829" s="8"/>
      <c r="P829" s="8"/>
    </row>
    <row r="830" spans="12:16" s="1" customFormat="1" x14ac:dyDescent="0.25">
      <c r="L830" s="8"/>
      <c r="M830" s="8"/>
      <c r="N830" s="8"/>
      <c r="O830" s="8"/>
      <c r="P830" s="8"/>
    </row>
    <row r="831" spans="12:16" s="1" customFormat="1" x14ac:dyDescent="0.25">
      <c r="L831" s="8"/>
      <c r="M831" s="8"/>
      <c r="N831" s="8"/>
      <c r="O831" s="8"/>
      <c r="P831" s="8"/>
    </row>
    <row r="832" spans="12:16" s="1" customFormat="1" x14ac:dyDescent="0.25">
      <c r="L832" s="8"/>
      <c r="M832" s="8"/>
      <c r="N832" s="8"/>
      <c r="O832" s="8"/>
      <c r="P832" s="8"/>
    </row>
    <row r="833" spans="12:16" s="1" customFormat="1" x14ac:dyDescent="0.25">
      <c r="L833" s="8"/>
      <c r="M833" s="8"/>
      <c r="N833" s="8"/>
      <c r="O833" s="8"/>
      <c r="P833" s="8"/>
    </row>
    <row r="834" spans="12:16" s="1" customFormat="1" x14ac:dyDescent="0.25">
      <c r="L834" s="8"/>
      <c r="M834" s="8"/>
      <c r="N834" s="8"/>
      <c r="O834" s="8"/>
      <c r="P834" s="8"/>
    </row>
    <row r="835" spans="12:16" s="1" customFormat="1" x14ac:dyDescent="0.25">
      <c r="L835" s="8"/>
      <c r="M835" s="8"/>
      <c r="N835" s="8"/>
      <c r="O835" s="8"/>
      <c r="P835" s="8"/>
    </row>
    <row r="836" spans="12:16" s="1" customFormat="1" x14ac:dyDescent="0.25">
      <c r="L836" s="8"/>
      <c r="M836" s="8"/>
      <c r="N836" s="8"/>
      <c r="O836" s="8"/>
      <c r="P836" s="8"/>
    </row>
    <row r="837" spans="12:16" s="1" customFormat="1" x14ac:dyDescent="0.25">
      <c r="L837" s="8"/>
      <c r="M837" s="8"/>
      <c r="N837" s="8"/>
      <c r="O837" s="8"/>
      <c r="P837" s="8"/>
    </row>
    <row r="838" spans="12:16" s="1" customFormat="1" x14ac:dyDescent="0.25">
      <c r="L838" s="8"/>
      <c r="M838" s="8"/>
      <c r="N838" s="8"/>
      <c r="O838" s="8"/>
      <c r="P838" s="8"/>
    </row>
    <row r="839" spans="12:16" s="1" customFormat="1" x14ac:dyDescent="0.25">
      <c r="L839" s="8"/>
      <c r="M839" s="8"/>
      <c r="N839" s="8"/>
      <c r="O839" s="8"/>
      <c r="P839" s="8"/>
    </row>
    <row r="840" spans="12:16" s="1" customFormat="1" x14ac:dyDescent="0.25">
      <c r="L840" s="8"/>
      <c r="M840" s="8"/>
      <c r="N840" s="8"/>
      <c r="O840" s="8"/>
      <c r="P840" s="8"/>
    </row>
    <row r="841" spans="12:16" s="1" customFormat="1" x14ac:dyDescent="0.25">
      <c r="L841" s="8"/>
      <c r="M841" s="8"/>
      <c r="N841" s="8"/>
      <c r="O841" s="8"/>
      <c r="P841" s="8"/>
    </row>
    <row r="842" spans="12:16" s="1" customFormat="1" x14ac:dyDescent="0.25">
      <c r="L842" s="8"/>
      <c r="M842" s="8"/>
      <c r="N842" s="8"/>
      <c r="O842" s="8"/>
      <c r="P842" s="8"/>
    </row>
    <row r="843" spans="12:16" s="1" customFormat="1" x14ac:dyDescent="0.25">
      <c r="L843" s="8"/>
      <c r="M843" s="8"/>
      <c r="N843" s="8"/>
      <c r="O843" s="8"/>
      <c r="P843" s="8"/>
    </row>
    <row r="844" spans="12:16" s="1" customFormat="1" x14ac:dyDescent="0.25">
      <c r="L844" s="8"/>
      <c r="M844" s="8"/>
      <c r="N844" s="8"/>
      <c r="O844" s="8"/>
      <c r="P844" s="8"/>
    </row>
    <row r="845" spans="12:16" s="1" customFormat="1" x14ac:dyDescent="0.25">
      <c r="L845" s="8"/>
      <c r="M845" s="8"/>
      <c r="N845" s="8"/>
      <c r="O845" s="8"/>
      <c r="P845" s="8"/>
    </row>
    <row r="846" spans="12:16" s="1" customFormat="1" x14ac:dyDescent="0.25">
      <c r="L846" s="8"/>
      <c r="M846" s="8"/>
      <c r="N846" s="8"/>
      <c r="O846" s="8"/>
      <c r="P846" s="8"/>
    </row>
    <row r="847" spans="12:16" s="1" customFormat="1" x14ac:dyDescent="0.25">
      <c r="L847" s="8"/>
      <c r="M847" s="8"/>
      <c r="N847" s="8"/>
      <c r="O847" s="8"/>
      <c r="P847" s="8"/>
    </row>
    <row r="848" spans="12:16" s="1" customFormat="1" x14ac:dyDescent="0.25">
      <c r="L848" s="8"/>
      <c r="M848" s="8"/>
      <c r="N848" s="8"/>
      <c r="O848" s="8"/>
      <c r="P848" s="8"/>
    </row>
    <row r="849" spans="12:16" s="1" customFormat="1" x14ac:dyDescent="0.25">
      <c r="L849" s="8"/>
      <c r="M849" s="8"/>
      <c r="N849" s="8"/>
      <c r="O849" s="8"/>
      <c r="P849" s="8"/>
    </row>
    <row r="850" spans="12:16" s="1" customFormat="1" x14ac:dyDescent="0.25">
      <c r="L850" s="8"/>
      <c r="M850" s="8"/>
      <c r="N850" s="8"/>
      <c r="O850" s="8"/>
      <c r="P850" s="8"/>
    </row>
    <row r="851" spans="12:16" s="1" customFormat="1" x14ac:dyDescent="0.25">
      <c r="L851" s="8"/>
      <c r="M851" s="8"/>
      <c r="N851" s="8"/>
      <c r="O851" s="8"/>
      <c r="P851" s="8"/>
    </row>
    <row r="852" spans="12:16" s="1" customFormat="1" x14ac:dyDescent="0.25">
      <c r="L852" s="8"/>
      <c r="M852" s="8"/>
      <c r="N852" s="8"/>
      <c r="O852" s="8"/>
      <c r="P852" s="8"/>
    </row>
    <row r="853" spans="12:16" s="1" customFormat="1" x14ac:dyDescent="0.25">
      <c r="L853" s="8"/>
      <c r="M853" s="8"/>
      <c r="N853" s="8"/>
      <c r="O853" s="8"/>
      <c r="P853" s="8"/>
    </row>
    <row r="854" spans="12:16" s="1" customFormat="1" x14ac:dyDescent="0.25">
      <c r="L854" s="8"/>
      <c r="M854" s="8"/>
      <c r="N854" s="8"/>
      <c r="O854" s="8"/>
      <c r="P854" s="8"/>
    </row>
    <row r="855" spans="12:16" s="1" customFormat="1" x14ac:dyDescent="0.25">
      <c r="L855" s="8"/>
      <c r="M855" s="8"/>
      <c r="N855" s="8"/>
      <c r="O855" s="8"/>
      <c r="P855" s="8"/>
    </row>
    <row r="856" spans="12:16" s="1" customFormat="1" x14ac:dyDescent="0.25">
      <c r="L856" s="8"/>
      <c r="M856" s="8"/>
      <c r="N856" s="8"/>
      <c r="O856" s="8"/>
      <c r="P856" s="8"/>
    </row>
    <row r="857" spans="12:16" s="1" customFormat="1" x14ac:dyDescent="0.25">
      <c r="L857" s="8"/>
      <c r="M857" s="8"/>
      <c r="N857" s="8"/>
      <c r="O857" s="8"/>
      <c r="P857" s="8"/>
    </row>
    <row r="858" spans="12:16" s="1" customFormat="1" x14ac:dyDescent="0.25">
      <c r="L858" s="8"/>
      <c r="M858" s="8"/>
      <c r="N858" s="8"/>
      <c r="O858" s="8"/>
      <c r="P858" s="8"/>
    </row>
    <row r="859" spans="12:16" s="1" customFormat="1" x14ac:dyDescent="0.25">
      <c r="L859" s="8"/>
      <c r="M859" s="8"/>
      <c r="N859" s="8"/>
      <c r="O859" s="8"/>
      <c r="P859" s="8"/>
    </row>
    <row r="860" spans="12:16" s="1" customFormat="1" x14ac:dyDescent="0.25">
      <c r="L860" s="8"/>
      <c r="M860" s="8"/>
      <c r="N860" s="8"/>
      <c r="O860" s="8"/>
      <c r="P860" s="8"/>
    </row>
    <row r="861" spans="12:16" s="1" customFormat="1" x14ac:dyDescent="0.25">
      <c r="L861" s="8"/>
      <c r="M861" s="8"/>
      <c r="N861" s="8"/>
      <c r="O861" s="8"/>
      <c r="P861" s="8"/>
    </row>
    <row r="862" spans="12:16" s="1" customFormat="1" x14ac:dyDescent="0.25">
      <c r="L862" s="8"/>
      <c r="M862" s="8"/>
      <c r="N862" s="8"/>
      <c r="O862" s="8"/>
      <c r="P862" s="8"/>
    </row>
    <row r="863" spans="12:16" s="1" customFormat="1" x14ac:dyDescent="0.25">
      <c r="L863" s="8"/>
      <c r="M863" s="8"/>
      <c r="N863" s="8"/>
      <c r="O863" s="8"/>
      <c r="P863" s="8"/>
    </row>
    <row r="864" spans="12:16" s="1" customFormat="1" x14ac:dyDescent="0.25">
      <c r="L864" s="8"/>
      <c r="M864" s="8"/>
      <c r="N864" s="8"/>
      <c r="O864" s="8"/>
      <c r="P864" s="8"/>
    </row>
    <row r="865" spans="12:16" s="1" customFormat="1" x14ac:dyDescent="0.25">
      <c r="L865" s="8"/>
      <c r="M865" s="8"/>
      <c r="N865" s="8"/>
      <c r="O865" s="8"/>
      <c r="P865" s="8"/>
    </row>
    <row r="866" spans="12:16" s="1" customFormat="1" x14ac:dyDescent="0.25">
      <c r="L866" s="8"/>
      <c r="M866" s="8"/>
      <c r="N866" s="8"/>
      <c r="O866" s="8"/>
      <c r="P866" s="8"/>
    </row>
    <row r="867" spans="12:16" s="1" customFormat="1" x14ac:dyDescent="0.25">
      <c r="L867" s="8"/>
      <c r="M867" s="8"/>
      <c r="N867" s="8"/>
      <c r="O867" s="8"/>
      <c r="P867" s="8"/>
    </row>
    <row r="868" spans="12:16" s="1" customFormat="1" x14ac:dyDescent="0.25">
      <c r="L868" s="8"/>
      <c r="M868" s="8"/>
      <c r="N868" s="8"/>
      <c r="O868" s="8"/>
      <c r="P868" s="8"/>
    </row>
    <row r="869" spans="12:16" s="1" customFormat="1" x14ac:dyDescent="0.25">
      <c r="L869" s="8"/>
      <c r="M869" s="8"/>
      <c r="N869" s="8"/>
      <c r="O869" s="8"/>
      <c r="P869" s="8"/>
    </row>
    <row r="870" spans="12:16" s="1" customFormat="1" x14ac:dyDescent="0.25">
      <c r="L870" s="8"/>
      <c r="M870" s="8"/>
      <c r="N870" s="8"/>
      <c r="O870" s="8"/>
      <c r="P870" s="8"/>
    </row>
    <row r="871" spans="12:16" s="1" customFormat="1" x14ac:dyDescent="0.25">
      <c r="L871" s="8"/>
      <c r="M871" s="8"/>
      <c r="N871" s="8"/>
      <c r="O871" s="8"/>
      <c r="P871" s="8"/>
    </row>
    <row r="872" spans="12:16" s="1" customFormat="1" x14ac:dyDescent="0.25">
      <c r="L872" s="8"/>
      <c r="M872" s="8"/>
      <c r="N872" s="8"/>
      <c r="O872" s="8"/>
      <c r="P872" s="8"/>
    </row>
    <row r="873" spans="12:16" s="1" customFormat="1" x14ac:dyDescent="0.25">
      <c r="L873" s="8"/>
      <c r="M873" s="8"/>
      <c r="N873" s="8"/>
      <c r="O873" s="8"/>
      <c r="P873" s="8"/>
    </row>
    <row r="874" spans="12:16" s="1" customFormat="1" x14ac:dyDescent="0.25">
      <c r="L874" s="8"/>
      <c r="M874" s="8"/>
      <c r="N874" s="8"/>
      <c r="O874" s="8"/>
      <c r="P874" s="8"/>
    </row>
    <row r="875" spans="12:16" s="1" customFormat="1" x14ac:dyDescent="0.25">
      <c r="L875" s="8"/>
      <c r="M875" s="8"/>
      <c r="N875" s="8"/>
      <c r="O875" s="8"/>
      <c r="P875" s="8"/>
    </row>
    <row r="876" spans="12:16" s="1" customFormat="1" x14ac:dyDescent="0.25">
      <c r="L876" s="8"/>
      <c r="M876" s="8"/>
      <c r="N876" s="8"/>
      <c r="O876" s="8"/>
      <c r="P876" s="8"/>
    </row>
    <row r="877" spans="12:16" s="1" customFormat="1" x14ac:dyDescent="0.25">
      <c r="L877" s="8"/>
      <c r="M877" s="8"/>
      <c r="N877" s="8"/>
      <c r="O877" s="8"/>
      <c r="P877" s="8"/>
    </row>
    <row r="878" spans="12:16" s="1" customFormat="1" x14ac:dyDescent="0.25">
      <c r="L878" s="8"/>
      <c r="M878" s="8"/>
      <c r="N878" s="8"/>
      <c r="O878" s="8"/>
      <c r="P878" s="8"/>
    </row>
    <row r="879" spans="12:16" s="1" customFormat="1" x14ac:dyDescent="0.25">
      <c r="L879" s="8"/>
      <c r="M879" s="8"/>
      <c r="N879" s="8"/>
      <c r="O879" s="8"/>
      <c r="P879" s="8"/>
    </row>
    <row r="880" spans="12:16" s="1" customFormat="1" x14ac:dyDescent="0.25">
      <c r="L880" s="8"/>
      <c r="M880" s="8"/>
      <c r="N880" s="8"/>
      <c r="O880" s="8"/>
      <c r="P880" s="8"/>
    </row>
    <row r="881" spans="12:16" s="1" customFormat="1" x14ac:dyDescent="0.25">
      <c r="L881" s="8"/>
      <c r="M881" s="8"/>
      <c r="N881" s="8"/>
      <c r="O881" s="8"/>
      <c r="P881" s="8"/>
    </row>
    <row r="882" spans="12:16" s="1" customFormat="1" x14ac:dyDescent="0.25">
      <c r="L882" s="8"/>
      <c r="M882" s="8"/>
      <c r="N882" s="8"/>
      <c r="O882" s="8"/>
      <c r="P882" s="8"/>
    </row>
    <row r="883" spans="12:16" s="1" customFormat="1" x14ac:dyDescent="0.25">
      <c r="L883" s="8"/>
      <c r="M883" s="8"/>
      <c r="N883" s="8"/>
      <c r="O883" s="8"/>
      <c r="P883" s="8"/>
    </row>
    <row r="884" spans="12:16" s="1" customFormat="1" x14ac:dyDescent="0.25">
      <c r="L884" s="8"/>
      <c r="M884" s="8"/>
      <c r="N884" s="8"/>
      <c r="O884" s="8"/>
      <c r="P884" s="8"/>
    </row>
    <row r="885" spans="12:16" s="1" customFormat="1" x14ac:dyDescent="0.25">
      <c r="L885" s="8"/>
      <c r="M885" s="8"/>
      <c r="N885" s="8"/>
      <c r="O885" s="8"/>
      <c r="P885" s="8"/>
    </row>
    <row r="886" spans="12:16" s="1" customFormat="1" x14ac:dyDescent="0.25">
      <c r="L886" s="8"/>
      <c r="M886" s="8"/>
      <c r="N886" s="8"/>
      <c r="O886" s="8"/>
      <c r="P886" s="8"/>
    </row>
  </sheetData>
  <sheetProtection algorithmName="SHA-512" hashValue="ITpKaqkwJhFlbWrUlYNfuGfOxOFUYEtDQTkZhOoSapBBJJp+NS2NoaLkQwvQGHmGBeEulmoi1Jy833u0AtCY2w==" saltValue="UtPASd8pGFGyVbGXedsS7A==" spinCount="100000" sheet="1" objects="1" scenarios="1"/>
  <mergeCells count="57">
    <mergeCell ref="A135:H135"/>
    <mergeCell ref="A144:H144"/>
    <mergeCell ref="A145:H145"/>
    <mergeCell ref="A147:H147"/>
    <mergeCell ref="A115:H115"/>
    <mergeCell ref="A116:H116"/>
    <mergeCell ref="A118:H118"/>
    <mergeCell ref="A127:H127"/>
    <mergeCell ref="B128:E128"/>
    <mergeCell ref="B136:E136"/>
    <mergeCell ref="A2:E2"/>
    <mergeCell ref="A20:B20"/>
    <mergeCell ref="A1:E1"/>
    <mergeCell ref="A31:H31"/>
    <mergeCell ref="A7:B7"/>
    <mergeCell ref="A14:B14"/>
    <mergeCell ref="A4:C4"/>
    <mergeCell ref="A77:H77"/>
    <mergeCell ref="A40:H40"/>
    <mergeCell ref="A48:H48"/>
    <mergeCell ref="A57:H57"/>
    <mergeCell ref="A58:H58"/>
    <mergeCell ref="A60:H60"/>
    <mergeCell ref="A204:H204"/>
    <mergeCell ref="A205:H205"/>
    <mergeCell ref="A206:H206"/>
    <mergeCell ref="A184:H184"/>
    <mergeCell ref="A192:H192"/>
    <mergeCell ref="A201:H201"/>
    <mergeCell ref="A202:H202"/>
    <mergeCell ref="A203:H203"/>
    <mergeCell ref="B32:E32"/>
    <mergeCell ref="B41:E41"/>
    <mergeCell ref="B49:E49"/>
    <mergeCell ref="B61:E61"/>
    <mergeCell ref="B70:E70"/>
    <mergeCell ref="A69:H69"/>
    <mergeCell ref="B78:E78"/>
    <mergeCell ref="B90:E90"/>
    <mergeCell ref="B99:E99"/>
    <mergeCell ref="B107:E107"/>
    <mergeCell ref="B119:E119"/>
    <mergeCell ref="A89:H89"/>
    <mergeCell ref="A98:H98"/>
    <mergeCell ref="A106:H106"/>
    <mergeCell ref="A86:H86"/>
    <mergeCell ref="A87:H87"/>
    <mergeCell ref="B148:E148"/>
    <mergeCell ref="B164:E164"/>
    <mergeCell ref="B176:E176"/>
    <mergeCell ref="B185:E185"/>
    <mergeCell ref="B193:E193"/>
    <mergeCell ref="A156:H156"/>
    <mergeCell ref="A163:H163"/>
    <mergeCell ref="A172:H172"/>
    <mergeCell ref="A173:H173"/>
    <mergeCell ref="A175:H175"/>
  </mergeCells>
  <dataValidations count="2">
    <dataValidation type="list" allowBlank="1" showInputMessage="1" showErrorMessage="1" sqref="B11:B13 B26 B15:B19 B21:B24 B9" xr:uid="{D92F4680-AEB6-425F-8AEC-08BE150C2E9B}">
      <formula1>$N$28:$N$39</formula1>
    </dataValidation>
    <dataValidation type="list" allowBlank="1" showInputMessage="1" showErrorMessage="1" sqref="B8 B25 B10:B11" xr:uid="{48692B7A-517A-400A-A131-B5FD42661CF5}">
      <formula1>$M$28:$M$40</formula1>
    </dataValidation>
  </dataValidations>
  <hyperlinks>
    <hyperlink ref="A22" r:id="rId1" xr:uid="{3F5A4A53-949A-4111-A2B9-6BDE7E48EC52}"/>
    <hyperlink ref="A16" r:id="rId2" xr:uid="{5391C568-5216-4D3C-86CB-71934898FF68}"/>
    <hyperlink ref="A23" r:id="rId3" xr:uid="{D9DEB7C9-32C2-442C-98DE-0595F5BC9BA3}"/>
    <hyperlink ref="A21" r:id="rId4" display="Squat bulgare" xr:uid="{9968E948-0EB7-47EB-ADD3-CAD346F6B302}"/>
    <hyperlink ref="A8" r:id="rId5" xr:uid="{26BB01C5-B8CA-4FC4-A492-8F21001024B2}"/>
    <hyperlink ref="A9" r:id="rId6" xr:uid="{49F72E6F-9501-49C4-A8CE-B842CB192DFB}"/>
    <hyperlink ref="A15" r:id="rId7" display="Tractions australienne" xr:uid="{793331CB-C598-48DD-BF69-2C0DBC8F0AAF}"/>
    <hyperlink ref="A12" r:id="rId8" xr:uid="{31FB13E6-760F-4FAB-949B-AFD70CD81714}"/>
    <hyperlink ref="A17" r:id="rId9" xr:uid="{E9F224B5-1873-456A-9CDD-FB3901E4BFF8}"/>
    <hyperlink ref="A25" r:id="rId10" xr:uid="{EED7BBF3-E3DD-4735-A199-221EE9FDB2E5}"/>
    <hyperlink ref="A19" r:id="rId11" display="Relevé de jambes suspendu ou au sol" xr:uid="{873B6FC7-F912-4DF9-81AB-6F47F76D47CD}"/>
    <hyperlink ref="A26" r:id="rId12" xr:uid="{6FE02902-125B-4E11-8B4E-867D71EA60EC}"/>
    <hyperlink ref="A10" r:id="rId13" xr:uid="{A797CA3C-7E0A-4C8E-8E85-6ABA764EFA9A}"/>
    <hyperlink ref="A24" r:id="rId14" xr:uid="{94D05A3E-B54C-4B79-A1C0-0733F5BF2BB0}"/>
    <hyperlink ref="A34" r:id="rId15" xr:uid="{7B46976C-A89B-4A88-83B8-E2FD254B1DAE}"/>
    <hyperlink ref="A35" r:id="rId16" xr:uid="{65B65517-FCCA-49E4-88CC-E681770D8218}"/>
    <hyperlink ref="A36" r:id="rId17" xr:uid="{E21FB2F3-EE9A-4232-B2C0-8991CF5E5EAB}"/>
    <hyperlink ref="A11" r:id="rId18" xr:uid="{EC466580-30D9-4924-9BDF-61599ECBE34B}"/>
    <hyperlink ref="A37" r:id="rId19" xr:uid="{DADA5EDE-9B4C-4433-A0C1-BE98F85C4E43}"/>
    <hyperlink ref="A38" r:id="rId20" xr:uid="{ECE75620-069E-43D1-AFC8-EABB40E03680}"/>
    <hyperlink ref="H34" r:id="rId21" display="https://www.youtube.com/watch?app=desktop&amp;si=LWyXVbYtDjva6wt2&amp;v=Ocg8wyTciVc&amp;feature=youtu.be&amp;ab_channel=BodY-ProoFCalisthenics" xr:uid="{33910FCF-84A3-4525-8A21-B5F93D759D54}"/>
    <hyperlink ref="A18" r:id="rId22" xr:uid="{5A5C974F-757F-4520-BB1E-E2C660674B25}"/>
    <hyperlink ref="A13" r:id="rId23" xr:uid="{D29D7404-0A5F-4005-AF66-8C31148F76C6}"/>
    <hyperlink ref="A39" r:id="rId24" xr:uid="{D1C94164-3AF9-476C-9033-E3F5CCFF57B1}"/>
    <hyperlink ref="A43" r:id="rId25" xr:uid="{7DC6270F-2B5C-492C-A3A2-B52EF3E5F785}"/>
    <hyperlink ref="A44" r:id="rId26" display="Tractions australienne" xr:uid="{5987BF71-AF2D-4AF8-999B-D943111250D6}"/>
    <hyperlink ref="A45" r:id="rId27" xr:uid="{6C70CE03-7AD1-41E5-930F-8BC36D11F0C2}"/>
    <hyperlink ref="A46" r:id="rId28" xr:uid="{E4450567-2014-477E-84AB-A41013B890E5}"/>
    <hyperlink ref="A47" r:id="rId29" display="Relevé de jambes suspendu ou au sol" xr:uid="{4C1863D3-78D8-4B48-8C6A-3609BE2A02BF}"/>
    <hyperlink ref="A51" r:id="rId30" display="Squat bulgare" xr:uid="{982F9209-1E1E-40D9-932A-C828B4C63404}"/>
    <hyperlink ref="A52" r:id="rId31" xr:uid="{0660D39A-8482-442A-B3DA-0A44C5D8194F}"/>
    <hyperlink ref="A53" r:id="rId32" xr:uid="{AACF581E-4A05-4AD0-B2DC-3B215739CAB0}"/>
    <hyperlink ref="A54" r:id="rId33" xr:uid="{62CD6F74-E662-4E83-903F-435562FA8C0C}"/>
    <hyperlink ref="A55" r:id="rId34" xr:uid="{BF080E80-9570-45C9-8365-13AA98C48654}"/>
    <hyperlink ref="A56" r:id="rId35" xr:uid="{8025DF7F-57C7-4990-9A9A-CB51C7319293}"/>
    <hyperlink ref="A63" r:id="rId36" xr:uid="{9D68B9AE-B20A-4809-8A3F-D0057FF33AC4}"/>
    <hyperlink ref="A64" r:id="rId37" xr:uid="{8F4A7B02-CD19-4647-A3DC-8ACC845E9EE8}"/>
    <hyperlink ref="A65" r:id="rId38" xr:uid="{AD12BFF1-A9F6-4336-9495-B57DDB396666}"/>
    <hyperlink ref="A66" r:id="rId39" xr:uid="{B3936F96-7FCB-44E0-8B1A-A5AD5AAFD667}"/>
    <hyperlink ref="A67" r:id="rId40" xr:uid="{EA5753D3-6C27-4D10-95C7-CB38DFB83A2E}"/>
    <hyperlink ref="A68" r:id="rId41" xr:uid="{81162C5A-D73F-4FFC-A0E0-9A8F41A68CB9}"/>
    <hyperlink ref="H65" r:id="rId42" display="https://youtu.be/Ocg8wyTciVc?si=LWyXVbYtDjva6wt2" xr:uid="{1D5FDFD6-86C4-4DF3-B9B6-2750289D3BD0}"/>
    <hyperlink ref="A72" r:id="rId43" display="Tractions australienne" xr:uid="{F450F55B-A29F-400A-A82A-48E893C7661C}"/>
    <hyperlink ref="A74" r:id="rId44" xr:uid="{9AE53252-794B-40CD-BC6E-9D71C814BBFC}"/>
    <hyperlink ref="A73" r:id="rId45" xr:uid="{B56C5DFB-83B9-4D4B-9989-58A1510E070E}"/>
    <hyperlink ref="A75" r:id="rId46" xr:uid="{FFE1524E-0E06-40FE-942E-11FBADFA1D04}"/>
    <hyperlink ref="A76" r:id="rId47" display="Relevé de jambes suspendu ou au sol" xr:uid="{A323A0AB-81C4-4509-870F-320087FB1FEC}"/>
    <hyperlink ref="A80" r:id="rId48" xr:uid="{F34B226B-E1FF-4AED-BDD7-EE30AFB0AFA1}"/>
    <hyperlink ref="A81" r:id="rId49" xr:uid="{2CA1776E-2FAB-4247-BD01-8FE879C53149}"/>
    <hyperlink ref="A82" r:id="rId50" display="Squat bulgare" xr:uid="{42D0FB08-C8A4-4A3F-A933-09C898B44FA3}"/>
    <hyperlink ref="A83" r:id="rId51" xr:uid="{5304CC6B-87A8-406E-AECF-9CA8200C9E2C}"/>
    <hyperlink ref="A84" r:id="rId52" xr:uid="{8A44B344-F8AD-49CD-9BDE-E8AC461B9051}"/>
    <hyperlink ref="A85" r:id="rId53" xr:uid="{7680B305-B3A0-4E6D-8219-DB395DB08FE4}"/>
    <hyperlink ref="A92" r:id="rId54" xr:uid="{6E6E87ED-3A9D-4E60-AD8F-CA59FFA82BA8}"/>
    <hyperlink ref="A93" r:id="rId55" xr:uid="{5FEC0521-8C78-4ADC-85BD-C989C31E63C9}"/>
    <hyperlink ref="A94" r:id="rId56" xr:uid="{58953FF1-D7DD-4D0B-8240-C7F2EDE6BF4D}"/>
    <hyperlink ref="A95" r:id="rId57" xr:uid="{7BC8DB92-8DE4-411F-907C-69C36CD7193C}"/>
    <hyperlink ref="A96" r:id="rId58" xr:uid="{FA9CB629-34B1-42EA-B93E-D7D7B61C4B50}"/>
    <hyperlink ref="A97" r:id="rId59" xr:uid="{518AB89D-85E3-4721-B5B1-8865B387B6EE}"/>
    <hyperlink ref="H93" r:id="rId60" display="https://youtu.be/Ocg8wyTciVc?si=LWyXVbYtDjva6wt2" xr:uid="{83590711-0478-493E-A0B8-10ADFB20DD91}"/>
    <hyperlink ref="A101" r:id="rId61" xr:uid="{2B146A37-B626-41D8-A664-6F1BBBF4C869}"/>
    <hyperlink ref="A102" r:id="rId62" xr:uid="{320BC3B8-DD44-4760-BC9C-DBAB59E579FD}"/>
    <hyperlink ref="A103" r:id="rId63" display="Tractions australienne" xr:uid="{A9C03D5E-4440-4CC2-AC40-EA9DEC772BAA}"/>
    <hyperlink ref="A104" r:id="rId64" xr:uid="{0C601339-4125-40F8-B25A-08DDA000DB9F}"/>
    <hyperlink ref="A105" r:id="rId65" display="Relevé de jambes suspendu ou au sol" xr:uid="{A9B8CA50-4DA2-4F4B-B4E2-87E7BD7EC5DD}"/>
    <hyperlink ref="A109" r:id="rId66" xr:uid="{2C8A1130-BD3A-4332-A282-F153543F9C51}"/>
    <hyperlink ref="A110" r:id="rId67" display="Squat bulgare" xr:uid="{8ADB3141-27D8-46F3-B5FF-713F078D5AD5}"/>
    <hyperlink ref="A111" r:id="rId68" xr:uid="{2804AE28-AB8C-4B14-A8DF-7BD483F9B457}"/>
    <hyperlink ref="A112" r:id="rId69" xr:uid="{80A69EE6-B0FE-4DC7-839B-E1589C8EAB77}"/>
    <hyperlink ref="A113" r:id="rId70" xr:uid="{531D1022-64CD-40D4-A15D-B73AE1A56300}"/>
    <hyperlink ref="A114" r:id="rId71" xr:uid="{3EC749B5-1D13-406D-A2E9-B50127C9B22B}"/>
    <hyperlink ref="A121" r:id="rId72" xr:uid="{5258DAAD-3BE1-4207-A0ED-DF2FEE9B79E6}"/>
    <hyperlink ref="A122" r:id="rId73" xr:uid="{62FFB9A0-AC75-4BF4-A2D5-DF00CC272A0D}"/>
    <hyperlink ref="A123" r:id="rId74" xr:uid="{ECD804DC-8651-4554-958C-9487B128BD9B}"/>
    <hyperlink ref="A124" r:id="rId75" xr:uid="{6946B5A7-5AFC-4C86-BC7E-A0DAC7883E1F}"/>
    <hyperlink ref="A125" r:id="rId76" xr:uid="{206A6D6D-E82F-4E8F-A6D3-8BA04CFDB577}"/>
    <hyperlink ref="A126" r:id="rId77" xr:uid="{2A9B1533-1B16-4EFC-A06A-27299E0CC041}"/>
    <hyperlink ref="A130" r:id="rId78" xr:uid="{627E8250-BD7E-4C76-920E-07733DD9EFF8}"/>
    <hyperlink ref="A131" r:id="rId79" display="Tractions australienne" xr:uid="{23EB9F9E-E77A-49AC-8DAB-2EE75A497508}"/>
    <hyperlink ref="A132" r:id="rId80" xr:uid="{B591A2EC-584D-47A2-97D4-92A791529220}"/>
    <hyperlink ref="A133" r:id="rId81" xr:uid="{14CA09F5-D96E-44EC-B22D-546F8FCFE586}"/>
    <hyperlink ref="A134" r:id="rId82" display="Relevé de jambes suspendu ou au sol" xr:uid="{D8A02E93-C1D1-4830-A644-F6E21EAB6D31}"/>
    <hyperlink ref="A138" r:id="rId83" display="Squat bulgare" xr:uid="{CA49704C-7C87-4194-BF5D-8CBB15932873}"/>
    <hyperlink ref="A139" r:id="rId84" xr:uid="{38A0DDCF-D410-446C-96EE-FACF2752D752}"/>
    <hyperlink ref="A140" r:id="rId85" xr:uid="{97379B6E-33DE-4067-930E-29CB2CF7E277}"/>
    <hyperlink ref="A141" r:id="rId86" xr:uid="{8FA1E142-6243-44F4-A527-4E961349A4F1}"/>
    <hyperlink ref="A142" r:id="rId87" xr:uid="{BBF98148-B458-4A4C-B283-99D457844CB9}"/>
    <hyperlink ref="A143" r:id="rId88" xr:uid="{3F7DBEBA-C23F-4DC6-8A19-FB085A4C2ADF}"/>
    <hyperlink ref="A150" r:id="rId89" xr:uid="{2D9C280B-5476-43E1-A55D-EC2DD3FC29B4}"/>
    <hyperlink ref="A151" r:id="rId90" xr:uid="{781369D7-87BD-4251-8DCD-3CD3ECC264B9}"/>
    <hyperlink ref="A152" r:id="rId91" xr:uid="{834CAA86-5CB7-41FD-889C-F77F52DE6D82}"/>
    <hyperlink ref="A153" r:id="rId92" xr:uid="{0FDA8843-C821-4995-AB21-455994F88641}"/>
    <hyperlink ref="A154" r:id="rId93" xr:uid="{33E4D9DA-8927-47B1-B5E2-D6FC5981EB61}"/>
    <hyperlink ref="A155" r:id="rId94" xr:uid="{5A30B230-12C1-4D5D-B071-AB02A01D12CE}"/>
    <hyperlink ref="H121" r:id="rId95" display="https://youtu.be/Ocg8wyTciVc?si=LWyXVbYtDjva6wt2" xr:uid="{13C285A5-68A9-4BBB-A4FA-D16DA6D5AC24}"/>
    <hyperlink ref="H152" r:id="rId96" display="https://youtu.be/Ocg8wyTciVc?si=LWyXVbYtDjva6wt2" xr:uid="{ECB31078-563A-472E-BF0F-9783AAA1F86D}"/>
    <hyperlink ref="A158" r:id="rId97" display="Tractions australienne" xr:uid="{3D9BEF61-E1B2-417B-BA03-E724BD832916}"/>
    <hyperlink ref="A160" r:id="rId98" xr:uid="{FEC8EF3A-4932-4CF8-8EE0-923195107766}"/>
    <hyperlink ref="A159" r:id="rId99" xr:uid="{A4F997CF-9377-4560-8458-58A8CF2A1147}"/>
    <hyperlink ref="A161" r:id="rId100" xr:uid="{BD2C38EA-3C20-4078-82F1-39A036EFA364}"/>
    <hyperlink ref="A162" r:id="rId101" display="Relevé de jambes suspendu ou au sol" xr:uid="{8323DDD8-C4E2-4F9C-852B-E2B0E86D06DB}"/>
    <hyperlink ref="A166" r:id="rId102" xr:uid="{21A602DB-9A27-4FC9-A8E1-B887F5F74361}"/>
    <hyperlink ref="A167" r:id="rId103" xr:uid="{14A71689-3918-4FBB-88BD-B781BED5D511}"/>
    <hyperlink ref="A168" r:id="rId104" display="Squat bulgare" xr:uid="{71036518-9AB0-48BA-BB33-EABF5EE218BF}"/>
    <hyperlink ref="A169" r:id="rId105" xr:uid="{088F4BC5-D112-4F00-8C29-9E799D828939}"/>
    <hyperlink ref="A170" r:id="rId106" xr:uid="{EC0168E9-DD97-4BDE-BDF3-04005781D3B7}"/>
    <hyperlink ref="A171" r:id="rId107" xr:uid="{29AFDBE7-66BC-4B9A-B3C0-0DD47C3B9E10}"/>
    <hyperlink ref="A178" r:id="rId108" xr:uid="{98F76CD8-088E-4B9E-B23A-D67D34EF19CB}"/>
    <hyperlink ref="A179" r:id="rId109" xr:uid="{703C0F13-40FF-4C60-8F5E-62182AF1FF16}"/>
    <hyperlink ref="A180" r:id="rId110" xr:uid="{73A061E0-27BA-41D4-B10A-10758E45014F}"/>
    <hyperlink ref="A181" r:id="rId111" xr:uid="{AACCC025-6255-4443-A790-AB5A81B44D0B}"/>
    <hyperlink ref="A182" r:id="rId112" xr:uid="{36863721-52A6-4A1B-8668-94CE323D58BC}"/>
    <hyperlink ref="A183" r:id="rId113" xr:uid="{DC6272AA-E668-4F57-8524-17004459A593}"/>
    <hyperlink ref="A187" r:id="rId114" xr:uid="{2DBCF18B-A81F-4ED8-BFC2-39A2B51B9FEF}"/>
    <hyperlink ref="A188" r:id="rId115" xr:uid="{99F48C8A-C5FD-401F-9852-A9226BCB2EB1}"/>
    <hyperlink ref="A189" r:id="rId116" display="Tractions australienne" xr:uid="{5CBAA3F6-A5E1-4827-9A82-E4A90DC5D4AA}"/>
    <hyperlink ref="A190" r:id="rId117" xr:uid="{221B0677-10D8-48CE-BCA2-2D71CF9B9BB9}"/>
    <hyperlink ref="A191" r:id="rId118" display="Relevé de jambes suspendu ou au sol" xr:uid="{5C64A570-27F3-4357-B227-05CC8628547D}"/>
    <hyperlink ref="A195" r:id="rId119" xr:uid="{71B5C39F-F27C-4ECB-98A6-C74AE79DA0DD}"/>
    <hyperlink ref="A196" r:id="rId120" display="Squat bulgare" xr:uid="{C622FDC4-58DA-4F5C-8B8C-93013125D7B7}"/>
    <hyperlink ref="A197" r:id="rId121" xr:uid="{944B5C99-9866-4C51-87E4-F8ACB54183B8}"/>
    <hyperlink ref="A198" r:id="rId122" xr:uid="{B3FAA587-6AF6-4DAB-90CE-CD0BD246D6F3}"/>
    <hyperlink ref="A199" r:id="rId123" xr:uid="{9AEAB501-2A45-4383-BBB5-5E323ABB9DA6}"/>
    <hyperlink ref="A200" r:id="rId124" xr:uid="{EECC6948-364E-4F7E-8A3E-88FF001EF107}"/>
    <hyperlink ref="B32" r:id="rId125" xr:uid="{E000E44F-C0F3-4C95-8C83-B6D7DE92AC16}"/>
    <hyperlink ref="B41" r:id="rId126" xr:uid="{5D41A89B-C9A8-4301-8DCF-C72C851815A8}"/>
    <hyperlink ref="B49" r:id="rId127" xr:uid="{AC3151CF-2FCA-421A-8B48-D6FD770BA177}"/>
    <hyperlink ref="B61" r:id="rId128" xr:uid="{59D7D5B0-B631-4071-AF0D-A1C02AB52E77}"/>
    <hyperlink ref="B70" r:id="rId129" xr:uid="{108C96E7-56CE-43E8-B82A-DA0050CC060E}"/>
    <hyperlink ref="B78" r:id="rId130" xr:uid="{3B741123-138C-4633-A08E-A9CBD7390E58}"/>
    <hyperlink ref="B90" r:id="rId131" xr:uid="{21767D05-9F77-4DA0-9C90-833948A80CB2}"/>
    <hyperlink ref="B99" r:id="rId132" xr:uid="{9CF25D9B-93FF-49CB-81F6-CD2DAA972B2A}"/>
    <hyperlink ref="B107" r:id="rId133" xr:uid="{4AF2B5BB-0F43-49CE-8A8E-920738E5418B}"/>
    <hyperlink ref="B119" r:id="rId134" xr:uid="{6D5F3361-F3D7-4DAC-B8BF-13CCBDDED441}"/>
    <hyperlink ref="B128" r:id="rId135" xr:uid="{C06B199F-63FB-4952-AE8E-02B5A68A653A}"/>
    <hyperlink ref="B136" r:id="rId136" xr:uid="{BA368377-FF76-45B1-9395-61140C06EEAF}"/>
    <hyperlink ref="B148" r:id="rId137" xr:uid="{B41FECB0-5F84-456C-A2D5-C263A48755B5}"/>
    <hyperlink ref="B164" r:id="rId138" xr:uid="{3597D332-D537-43B0-A85C-B916AB1BE823}"/>
    <hyperlink ref="B176" r:id="rId139" xr:uid="{43C0D9EE-CF5B-413D-B099-7C0C5F477FE2}"/>
    <hyperlink ref="B185" r:id="rId140" xr:uid="{C2D7EC41-0499-4F8E-9AA5-EAC10D673F4D}"/>
    <hyperlink ref="B193" r:id="rId141" xr:uid="{562374A4-6F31-4E61-AF3A-D2C39DB2DEF2}"/>
    <hyperlink ref="H32" r:id="rId142" xr:uid="{D49F4E48-ED6D-4E0C-822B-16F45E977840}"/>
    <hyperlink ref="H41" r:id="rId143" xr:uid="{AFC80B00-A057-41C8-A1C9-99EC5C78351C}"/>
    <hyperlink ref="H49" r:id="rId144" xr:uid="{2693E53E-0918-45AA-A5F3-3FCDB2B78BA6}"/>
    <hyperlink ref="H61" r:id="rId145" xr:uid="{38198181-110C-43D9-8737-BDBB44B400D9}"/>
    <hyperlink ref="H70" r:id="rId146" xr:uid="{26568057-AB32-4BB1-A8D6-6AB1F375A71C}"/>
    <hyperlink ref="H78" r:id="rId147" xr:uid="{BBC29A95-BCF2-4B1E-A4EA-FD6798C5F490}"/>
    <hyperlink ref="H90" r:id="rId148" xr:uid="{7C2EF202-3BE7-4613-A0E8-6675C3714864}"/>
    <hyperlink ref="H99" r:id="rId149" xr:uid="{984E0089-0B1E-472F-B2C6-6B4E715789C3}"/>
    <hyperlink ref="H107" r:id="rId150" xr:uid="{03CBF13C-783A-4265-A720-9F37D97E60E1}"/>
    <hyperlink ref="H119" r:id="rId151" xr:uid="{C0DAB926-B45C-4749-9319-B4D1B264E852}"/>
    <hyperlink ref="H128" r:id="rId152" xr:uid="{578D4B58-0C30-47E0-9CB9-2A1AB032F970}"/>
    <hyperlink ref="H136" r:id="rId153" xr:uid="{4587378F-E77C-4AB8-94FD-EC2A09314849}"/>
    <hyperlink ref="H148" r:id="rId154" xr:uid="{BF3C79CC-B52F-46F3-B5DB-8F4DBBFFE4D5}"/>
    <hyperlink ref="H164" r:id="rId155" xr:uid="{35E4B3C4-4210-4337-83EA-7A7B2FC006FB}"/>
    <hyperlink ref="H176" r:id="rId156" xr:uid="{15AFDA0B-F997-45AC-84DA-D4436E7B7A98}"/>
    <hyperlink ref="H185" r:id="rId157" xr:uid="{10CAA799-4B60-40F4-A100-189669A97633}"/>
    <hyperlink ref="H193" r:id="rId158" xr:uid="{21A72E60-0A50-4B45-9FE7-446E2EAD9B63}"/>
  </hyperlinks>
  <pageMargins left="0.7" right="0.7" top="0.75" bottom="0.75" header="0.3" footer="0.3"/>
  <pageSetup paperSize="9" orientation="portrait" verticalDpi="0" r:id="rId159"/>
  <drawing r:id="rId16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6F924-9D9B-410B-9A3F-C76EF11C5A70}">
  <sheetPr codeName="Feuil8"/>
  <dimension ref="A1:IW2340"/>
  <sheetViews>
    <sheetView workbookViewId="0">
      <selection activeCell="B8" sqref="B8"/>
    </sheetView>
  </sheetViews>
  <sheetFormatPr baseColWidth="10" defaultRowHeight="15" x14ac:dyDescent="0.25"/>
  <cols>
    <col min="1" max="1" width="54.42578125" customWidth="1"/>
    <col min="4" max="5" width="32.140625" bestFit="1" customWidth="1"/>
    <col min="6" max="6" width="11.28515625" bestFit="1" customWidth="1"/>
    <col min="7" max="7" width="14.28515625" bestFit="1" customWidth="1"/>
    <col min="8" max="8" width="94.7109375" customWidth="1"/>
    <col min="9" max="12" width="11.42578125" style="1"/>
    <col min="13" max="13" width="17.28515625" style="1" hidden="1" customWidth="1"/>
    <col min="14" max="14" width="9" style="1" hidden="1" customWidth="1"/>
    <col min="15" max="15" width="0" style="1" hidden="1" customWidth="1"/>
    <col min="16" max="257" width="11.42578125" style="1"/>
  </cols>
  <sheetData>
    <row r="1" spans="1:15" ht="15.75" x14ac:dyDescent="0.25">
      <c r="A1" s="210" t="s">
        <v>298</v>
      </c>
      <c r="B1" s="210"/>
      <c r="C1" s="210"/>
      <c r="D1" s="210"/>
      <c r="E1" s="210"/>
      <c r="F1" s="1"/>
      <c r="G1" s="1"/>
      <c r="H1" s="1"/>
      <c r="M1" s="62" t="s">
        <v>147</v>
      </c>
      <c r="N1" s="62" t="s">
        <v>8</v>
      </c>
      <c r="O1" s="62" t="s">
        <v>9</v>
      </c>
    </row>
    <row r="2" spans="1:15" x14ac:dyDescent="0.25">
      <c r="A2" s="82" t="s">
        <v>307</v>
      </c>
      <c r="B2" s="82"/>
      <c r="C2" s="82"/>
      <c r="D2" s="82"/>
      <c r="E2" s="82"/>
      <c r="F2" s="82"/>
      <c r="G2" s="82"/>
      <c r="H2" s="82"/>
      <c r="M2" s="62"/>
      <c r="N2" s="62"/>
      <c r="O2" s="62"/>
    </row>
    <row r="3" spans="1:15" x14ac:dyDescent="0.25">
      <c r="A3" s="211" t="s">
        <v>300</v>
      </c>
      <c r="B3" s="211"/>
      <c r="C3" s="211"/>
      <c r="D3" s="211"/>
      <c r="E3" s="211"/>
      <c r="F3" s="211"/>
      <c r="G3" s="211"/>
      <c r="H3" s="211"/>
      <c r="J3" s="100"/>
      <c r="K3" s="100"/>
      <c r="L3" s="100"/>
      <c r="M3" s="62" t="s">
        <v>10</v>
      </c>
      <c r="N3" s="62" t="s">
        <v>22</v>
      </c>
      <c r="O3" s="99" t="s">
        <v>29</v>
      </c>
    </row>
    <row r="4" spans="1:15" x14ac:dyDescent="0.25">
      <c r="A4" s="211" t="s">
        <v>285</v>
      </c>
      <c r="B4" s="211"/>
      <c r="C4" s="211"/>
      <c r="D4" s="211"/>
      <c r="E4" s="211"/>
      <c r="F4" s="211"/>
      <c r="G4" s="211"/>
      <c r="H4" s="211"/>
      <c r="M4" s="99" t="s">
        <v>11</v>
      </c>
      <c r="N4" s="99" t="s">
        <v>23</v>
      </c>
      <c r="O4" s="99" t="s">
        <v>30</v>
      </c>
    </row>
    <row r="5" spans="1:15" x14ac:dyDescent="0.25">
      <c r="A5" s="236" t="s">
        <v>308</v>
      </c>
      <c r="B5" s="236"/>
      <c r="C5" s="236"/>
      <c r="D5" s="236"/>
      <c r="E5" s="236"/>
      <c r="F5" s="236"/>
      <c r="G5" s="236"/>
      <c r="H5" s="236"/>
      <c r="M5" s="99" t="s">
        <v>12</v>
      </c>
      <c r="N5" s="99" t="s">
        <v>24</v>
      </c>
      <c r="O5" s="99" t="s">
        <v>31</v>
      </c>
    </row>
    <row r="6" spans="1:15" x14ac:dyDescent="0.25">
      <c r="A6" s="237" t="s">
        <v>129</v>
      </c>
      <c r="B6" s="237"/>
      <c r="C6" s="237"/>
      <c r="D6" s="237"/>
      <c r="E6" s="237"/>
      <c r="F6" s="237"/>
      <c r="G6" s="237"/>
      <c r="H6" s="237"/>
      <c r="M6" s="99" t="s">
        <v>13</v>
      </c>
      <c r="N6" s="99" t="s">
        <v>25</v>
      </c>
      <c r="O6" s="99" t="s">
        <v>32</v>
      </c>
    </row>
    <row r="7" spans="1:15" ht="15.75" thickBot="1" x14ac:dyDescent="0.3">
      <c r="A7" s="218" t="s">
        <v>299</v>
      </c>
      <c r="B7" s="218"/>
      <c r="C7" s="1"/>
      <c r="D7" s="1"/>
      <c r="E7" s="1"/>
      <c r="F7" s="1"/>
      <c r="G7" s="1"/>
      <c r="H7" s="1"/>
      <c r="M7" s="99" t="s">
        <v>14</v>
      </c>
      <c r="N7" s="99" t="s">
        <v>26</v>
      </c>
      <c r="O7" s="99" t="s">
        <v>33</v>
      </c>
    </row>
    <row r="8" spans="1:15" ht="15.75" thickBot="1" x14ac:dyDescent="0.3">
      <c r="A8" s="81" t="s">
        <v>155</v>
      </c>
      <c r="B8" s="36"/>
      <c r="C8" s="127" t="s">
        <v>303</v>
      </c>
      <c r="D8" s="1"/>
      <c r="E8" s="1"/>
      <c r="F8" s="1"/>
      <c r="G8" s="1"/>
      <c r="H8" s="1"/>
      <c r="M8" s="99" t="s">
        <v>15</v>
      </c>
      <c r="N8" s="99" t="s">
        <v>27</v>
      </c>
      <c r="O8" s="99" t="s">
        <v>34</v>
      </c>
    </row>
    <row r="9" spans="1:15" ht="15.75" thickBot="1" x14ac:dyDescent="0.3">
      <c r="A9" s="117" t="s">
        <v>148</v>
      </c>
      <c r="B9" s="118"/>
      <c r="C9" s="8" t="s">
        <v>306</v>
      </c>
      <c r="D9" s="1"/>
      <c r="E9" s="1"/>
      <c r="F9" s="1"/>
      <c r="G9" s="1"/>
      <c r="H9" s="1"/>
      <c r="M9" s="99" t="s">
        <v>16</v>
      </c>
      <c r="N9" s="99" t="s">
        <v>13</v>
      </c>
      <c r="O9" s="99" t="s">
        <v>35</v>
      </c>
    </row>
    <row r="10" spans="1:15" x14ac:dyDescent="0.25">
      <c r="A10" s="79" t="s">
        <v>328</v>
      </c>
      <c r="B10" s="87"/>
      <c r="C10" s="1"/>
      <c r="D10" s="1"/>
      <c r="E10" s="1"/>
      <c r="F10" s="1"/>
      <c r="G10" s="1"/>
      <c r="H10" s="1"/>
      <c r="M10" s="99" t="s">
        <v>17</v>
      </c>
      <c r="N10" s="99" t="s">
        <v>14</v>
      </c>
      <c r="O10" s="99" t="s">
        <v>36</v>
      </c>
    </row>
    <row r="11" spans="1:15" ht="15.75" thickBot="1" x14ac:dyDescent="0.3">
      <c r="A11" s="121" t="s">
        <v>147</v>
      </c>
      <c r="B11" s="122"/>
      <c r="C11" s="1"/>
      <c r="D11" s="1"/>
      <c r="E11" s="1"/>
      <c r="F11" s="1"/>
      <c r="G11" s="1"/>
      <c r="H11" s="1"/>
      <c r="M11" s="99" t="s">
        <v>18</v>
      </c>
      <c r="N11" s="99" t="s">
        <v>15</v>
      </c>
      <c r="O11" s="99" t="s">
        <v>37</v>
      </c>
    </row>
    <row r="12" spans="1:15" x14ac:dyDescent="0.25">
      <c r="A12" s="119" t="s">
        <v>157</v>
      </c>
      <c r="B12" s="120"/>
      <c r="C12" s="8" t="s">
        <v>279</v>
      </c>
      <c r="D12" s="1"/>
      <c r="E12" s="1"/>
      <c r="F12" s="1"/>
      <c r="G12" s="1"/>
      <c r="H12" s="1"/>
      <c r="M12" s="99" t="s">
        <v>19</v>
      </c>
      <c r="N12" s="99" t="s">
        <v>16</v>
      </c>
      <c r="O12" s="99" t="s">
        <v>38</v>
      </c>
    </row>
    <row r="13" spans="1:15" x14ac:dyDescent="0.25">
      <c r="A13" s="79" t="s">
        <v>164</v>
      </c>
      <c r="B13" s="87"/>
      <c r="C13" s="8" t="s">
        <v>278</v>
      </c>
      <c r="D13" s="1"/>
      <c r="E13" s="1"/>
      <c r="F13" s="1"/>
      <c r="G13" s="1"/>
      <c r="H13" s="100"/>
      <c r="M13" s="99" t="s">
        <v>20</v>
      </c>
      <c r="N13" s="99" t="s">
        <v>28</v>
      </c>
      <c r="O13" s="99" t="s">
        <v>39</v>
      </c>
    </row>
    <row r="14" spans="1:15" ht="15.75" thickBot="1" x14ac:dyDescent="0.3">
      <c r="A14" s="218" t="s">
        <v>165</v>
      </c>
      <c r="B14" s="218"/>
      <c r="C14" s="1"/>
      <c r="D14" s="1"/>
      <c r="E14" s="1"/>
      <c r="F14" s="1"/>
      <c r="G14" s="1"/>
      <c r="H14" s="1"/>
      <c r="M14" s="99" t="s">
        <v>21</v>
      </c>
      <c r="N14" s="62"/>
      <c r="O14" s="99" t="s">
        <v>40</v>
      </c>
    </row>
    <row r="15" spans="1:15" ht="15.75" thickBot="1" x14ac:dyDescent="0.3">
      <c r="A15" s="79" t="s">
        <v>302</v>
      </c>
      <c r="B15" s="36"/>
      <c r="C15" s="1"/>
      <c r="D15" s="1"/>
      <c r="E15" s="1"/>
      <c r="F15" s="1"/>
      <c r="G15" s="1"/>
      <c r="H15" s="1"/>
      <c r="M15" s="62"/>
      <c r="N15" s="62"/>
      <c r="O15" s="99" t="s">
        <v>41</v>
      </c>
    </row>
    <row r="16" spans="1:15" ht="15.75" thickBot="1" x14ac:dyDescent="0.3">
      <c r="A16" s="123" t="s">
        <v>304</v>
      </c>
      <c r="B16" s="118"/>
      <c r="C16" s="1"/>
      <c r="D16" s="1"/>
      <c r="E16" s="1"/>
      <c r="F16" s="1"/>
      <c r="G16" s="1"/>
      <c r="H16" s="1"/>
      <c r="M16" s="62"/>
      <c r="N16" s="62"/>
      <c r="O16" s="99" t="s">
        <v>42</v>
      </c>
    </row>
    <row r="17" spans="1:8" ht="15.75" thickBot="1" x14ac:dyDescent="0.3">
      <c r="A17" s="79" t="s">
        <v>174</v>
      </c>
      <c r="B17" s="87"/>
      <c r="C17" s="1"/>
      <c r="D17" s="1"/>
      <c r="E17" s="1"/>
      <c r="F17" s="1"/>
      <c r="G17" s="1"/>
      <c r="H17" s="1"/>
    </row>
    <row r="18" spans="1:8" ht="15.75" thickBot="1" x14ac:dyDescent="0.3">
      <c r="A18" s="117" t="s">
        <v>305</v>
      </c>
      <c r="B18" s="118"/>
      <c r="C18" s="1"/>
      <c r="D18" s="1"/>
      <c r="E18" s="1"/>
      <c r="F18" s="1"/>
      <c r="G18" s="1"/>
      <c r="H18" s="1"/>
    </row>
    <row r="19" spans="1:8" x14ac:dyDescent="0.25">
      <c r="A19" s="79" t="s">
        <v>327</v>
      </c>
      <c r="B19" s="87"/>
      <c r="C19" s="1"/>
      <c r="D19" s="1"/>
      <c r="E19" s="1"/>
      <c r="F19" s="1"/>
      <c r="G19" s="1"/>
      <c r="H19" s="1"/>
    </row>
    <row r="20" spans="1:8" x14ac:dyDescent="0.25">
      <c r="A20" s="79" t="s">
        <v>161</v>
      </c>
      <c r="B20" s="87"/>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ht="15.75" thickBot="1" x14ac:dyDescent="0.3">
      <c r="A23" s="213" t="s">
        <v>0</v>
      </c>
      <c r="B23" s="213"/>
      <c r="C23" s="213"/>
      <c r="D23" s="213"/>
      <c r="E23" s="213"/>
      <c r="F23" s="213"/>
      <c r="G23" s="213"/>
      <c r="H23" s="213"/>
    </row>
    <row r="24" spans="1:8" x14ac:dyDescent="0.25">
      <c r="A24" s="72" t="s">
        <v>151</v>
      </c>
      <c r="B24" s="226" t="s">
        <v>324</v>
      </c>
      <c r="C24" s="227"/>
      <c r="D24" s="227"/>
      <c r="E24" s="227"/>
      <c r="F24" s="1"/>
      <c r="G24" s="1"/>
      <c r="H24" s="147" t="s">
        <v>325</v>
      </c>
    </row>
    <row r="25" spans="1:8" ht="15.75" thickBot="1" x14ac:dyDescent="0.3">
      <c r="A25" s="73" t="s">
        <v>2</v>
      </c>
      <c r="B25" s="74" t="s">
        <v>3</v>
      </c>
      <c r="C25" s="74" t="s">
        <v>4</v>
      </c>
      <c r="D25" s="74" t="s">
        <v>5</v>
      </c>
      <c r="E25" s="74" t="s">
        <v>6</v>
      </c>
      <c r="F25" s="74" t="s">
        <v>124</v>
      </c>
      <c r="G25" s="74" t="s">
        <v>125</v>
      </c>
      <c r="H25" s="74" t="s">
        <v>123</v>
      </c>
    </row>
    <row r="26" spans="1:8" ht="15.75" thickBot="1" x14ac:dyDescent="0.3">
      <c r="A26" s="104" t="s">
        <v>155</v>
      </c>
      <c r="B26" s="149">
        <f>IF(B8=N3,"2",IF(B8=N4,"4",IF(B8=N5,"2",IF(B8=N6,"3",IF(B8=N7,6,IF(B8=N8,8,IF(B8=N9,12,IF(B8=N10,16,IF(B8=N11,20,IF(B8=N12,23,IF(B8=N13,25,0)))))))))))</f>
        <v>0</v>
      </c>
      <c r="C26" s="150">
        <f>IF(B8=N3,"7",IF(B8=N4,"9",IF(B8=N5,"3",IF(B8=N6,"5",IF(B8=N7,8,IF(B8=N8,11,IF(B8=N9,16,IF(B8=N10,18,IF(B8=N11,25,IF(B8=N12,27,IF(B8=N13,28,0)))))))))))</f>
        <v>0</v>
      </c>
      <c r="D26" s="150">
        <f>IF(B8=N3,"5",IF(B8=N4,"6",IF(B8=N5,"2",IF(B8=N6,"3",IF(B8=N7,6,IF(B8=N8,8,IF(B8=N9,12,IF(B8=N10,15,IF(B8=N11,19,IF(B8=N12,22,IF(B8=N13,24,0)))))))))))</f>
        <v>0</v>
      </c>
      <c r="E26" s="151">
        <f>IF(B8=N3,"6",IF(B8=N4,"7",IF(B8=N5,"Max de répétitions et minimum 3",IF(B8=N6,"Max de répétitions et minimum 4",IF(B8=N7,"Max de répétitions et minimum 7",IF(B8=N8,"Max de répétitions et minimum 9",IF(B8=N9,"Max de répétitions et minimum 13",IF(B8=N10,"Max de répétitions et minimum 16",IF(B8=N11,"Max de répétitions et minimum 20",IF(B8=N12,"Max de répétitions et minimum 21",IF(B8=N13,"Max de répétitions et minimum 25",0)))))))))))</f>
        <v>0</v>
      </c>
      <c r="F26" s="232" t="s">
        <v>128</v>
      </c>
      <c r="G26" s="232" t="s">
        <v>127</v>
      </c>
      <c r="H26" s="76" t="str">
        <f>IF(OR(B8=N3,B8=N4),"Toutes les répétitions en excentrique","")</f>
        <v/>
      </c>
    </row>
    <row r="27" spans="1:8" ht="15.75" thickBot="1" x14ac:dyDescent="0.3">
      <c r="A27" s="124" t="s">
        <v>148</v>
      </c>
      <c r="B27" s="152">
        <f>IF(B9=N3,"2",IF(B9=N4,"4",IF(B9=N5,"2",IF(B9=N6,"3",IF(B9=N7,6,IF(B9=N8,8,IF(B9=N9,12,IF(B9=N10,16,IF(B9=N11,20,IF(B9=N12,23,IF(B9=N13,25,0)))))))))))</f>
        <v>0</v>
      </c>
      <c r="C27" s="153">
        <f>IF(B9=N3,"7",IF(B9=N4,"9",IF(B9=N5,"3",IF(B9=N6,"5",IF(B9=N7,8,IF(B9=N8,11,IF(B9=N9,16,IF(B9=N10,18,IF(B9=N11,25,IF(B9=N12,27,IF(B9=N13,28,0)))))))))))</f>
        <v>0</v>
      </c>
      <c r="D27" s="153">
        <f>IF(B9=N3,"5",IF(B9=N4,"6",IF(B9=N5,"2",IF(B9=N6,"3",IF(B9=N7,6,IF(B9=N8,8,IF(B9=N9,12,IF(B9=N10,15,IF(B9=N11,19,IF(B9=N12,22,IF(B9=N13,24,0)))))))))))</f>
        <v>0</v>
      </c>
      <c r="E27" s="154">
        <f>IF(B9=N3,"6",IF(B9=N4,"7",IF(B9=N5,"Max de répétitions et minimum 3",IF(B9=N6,"Max de répétitions et minimum 4",IF(B9=N7,"Max de répétitions et minimum 7",IF(B9=N8,"Max de répétitions et minimum 9",IF(B9=N9,"Max de répétitions et minimum 13",IF(B9=N10,"Max de répétitions et minimum 16",IF(B9=N11,"Max de répétitions et minimum 20",IF(B9=N12,"Max de répétitions et minimum 21",IF(B9=N13,"Max de répétitions et minimum 25",0)))))))))))</f>
        <v>0</v>
      </c>
      <c r="F27" s="233"/>
      <c r="G27" s="233"/>
      <c r="H27" s="164" t="str">
        <f>IF(OR(B9=N3,B9=N4),"Toutes les répétitions en excentrique : voir vidéo","")</f>
        <v/>
      </c>
    </row>
    <row r="28" spans="1:8" x14ac:dyDescent="0.25">
      <c r="A28" s="105" t="s">
        <v>328</v>
      </c>
      <c r="B28" s="155">
        <f>IF(B10=N3,"2",IF(B10=N4,"3",IF(B10=N5,"2",IF(B10=N6,"3",IF(B10=N7,6,IF(B10=N8,8,IF(B10=N9,12,IF(B10=N10,16,IF(B10=N11,20,IF(B10=N12,23,IF(B10=N13,25,0)))))))))))</f>
        <v>0</v>
      </c>
      <c r="C28" s="156">
        <f>IF(B10=N3,"3",IF(B10=N4,"2",IF(B10=N5,"3",IF(B10=N6,"5",IF(B10=N7,8,IF(B10=N8,11,IF(B10=N9,16,IF(B10=N10,18,IF(B10=N11,25,IF(B10=N12,27,IF(B10=N13,28,0)))))))))))</f>
        <v>0</v>
      </c>
      <c r="D28" s="156">
        <f>IF(B10=N3,"2",IF(B10=N4,"3",IF(B10=N5,"2",IF(B10=N6,"3",IF(B10=N7,6,IF(B10=N8,8,IF(B10=N9,12,IF(B10=N10,15,IF(B10=N11,19,IF(B10=N12,22,IF(B10=N13,24,0)))))))))))</f>
        <v>0</v>
      </c>
      <c r="E28" s="157">
        <f>IF(B10=N3,"Max de répétitions",IF(B10=N4,"Max de répétitions",IF(B10=N5,"Max de répétitions et minimum 3",IF(B10=N6,"Max de répétitions et minimum 4",IF(B10=N7,"Max de répétitions et minimum 7",IF(B10=N8,"Max de répétitions et minimum 9",IF(B10=N9,"Max de répétitions et minimum 13",IF(B10=N10,"Max de répétitions et minimum 16",IF(B10=N11,"Max de répétitions et minimum 20",IF(B10=N12,"Max de répétitions et minimum 21",IF(B10=N13,"Max de répétitions et minimum 25",0)))))))))))</f>
        <v>0</v>
      </c>
      <c r="F28" s="234" t="s">
        <v>131</v>
      </c>
      <c r="G28" s="234" t="s">
        <v>131</v>
      </c>
      <c r="H28" s="165"/>
    </row>
    <row r="29" spans="1:8" ht="15.75" thickBot="1" x14ac:dyDescent="0.3">
      <c r="A29" s="125" t="s">
        <v>147</v>
      </c>
      <c r="B29" s="152">
        <f>IF(B11=M3,"2",IF(B11=M4,"5",IF(B11=M5,"8",IF(B11=M6,"12",IF(B11=M7,14,IF(B11=M8,17,IF(B11=M9,22,IF(B11=M10,27,IF(B11=M11,30,IF(B11=M12,30,IF(B11=M13,30,IF(B11=M14,35,0))))))))))))</f>
        <v>0</v>
      </c>
      <c r="C29" s="153">
        <f>IF(B11=M3,"3",IF(B11=M4,"6",IF(B11=M5,"9",IF(B11=M6,"17",IF(B11=M7,18,IF(B11=M8,19,IF(B11=M9,24,IF(B11=M10,29,IF(B11=M11,34,IF(B11=M12,39,IF(B11=M13,44,IF(B11=M14,49,0))))))))))))</f>
        <v>0</v>
      </c>
      <c r="D29" s="153">
        <f>IF(B11=M3,"2",IF(B11=M4,"4",IF(B11=M5,"7",IF(B11=M6,"13",IF(B11=M7,14,IF(B11=M8,15,IF(B11=M9,20,IF(B11=M10,25,IF(B11=M11,30,IF(B11=M12,35,IF(B11=M13,40,IF(B11=M14,45,0))))))))))))</f>
        <v>0</v>
      </c>
      <c r="E29" s="154">
        <f>IF(B11=M3,"Max de répétitions et minimum 3",IF(B11=M4,"Max de répétitions et minimum 5",IF(B11=M5,"Max de répétitions et minimum 8",IF(B11=M6,"Max de répétitions et minimum 17",IF(B11=M7,"Max de répétitions et minimum 20",IF(B11=M8,"Max de répétitions et minimum 20",IF(B11=M9,"Max de répétitions et minimum 25",IF(B11=M10,"Max de répétitions et minimum 35",IF(B11=M11,"Max de répétitions et minimum 40",IF(B11=M12,"Max de répétitions et minimum 42",IF(B11=M13,"Max de répétitions et minimum 55",IF(B11=M14,"Max de répétitions et minimum 55",0))))))))))))</f>
        <v>0</v>
      </c>
      <c r="F29" s="233"/>
      <c r="G29" s="233"/>
      <c r="H29" s="159"/>
    </row>
    <row r="30" spans="1:8" x14ac:dyDescent="0.25">
      <c r="A30" s="126" t="s">
        <v>157</v>
      </c>
      <c r="B30" s="155">
        <f>IF(B12=N3,"2",IF(B12=N4,"3",IF(B12=N5,"2",IF(B12=N6,"3",IF(B12=N7,6,IF(B12=N8,8,IF(B12=N9,12,IF(B12=N10,16,IF(B12=N11,20,IF(B12=N12,23,IF(B12=N13,25,0)))))))))))</f>
        <v>0</v>
      </c>
      <c r="C30" s="156">
        <f>IF(B12=N3,"3",IF(B12=N4,"2",IF(B12=N5,"3",IF(B12=N6,"5",IF(B12=N7,8,IF(B12=N8,11,IF(B12=N9,16,IF(B12=N10,18,IF(B12=N11,25,IF(B12=N12,27,IF(B12=N13,28,0)))))))))))</f>
        <v>0</v>
      </c>
      <c r="D30" s="157">
        <f>IF(B12=N3,"Max de répétitions",IF(B12=N4,"Max de répétitions",IF(B12=N5,"Max de répétitions et minimum 3",IF(B12=N6,"Max de répétitions et minimum 4",IF(B12=N7,"Max de répétitions et minimum 7",IF(B12=N8,"Max de répétitions et minimum 9",IF(B12=N9,"Max de répétitions et minimum 13",IF(B12=N10,"Max de répétitions et minimum 16",IF(B12=N11,"Max de répétitions et minimum 20",IF(B12=N12,"Max de répétitions et minimum 21",IF(B12=N13,"Max de répétitions et minimum 25",0)))))))))))</f>
        <v>0</v>
      </c>
      <c r="E30" s="158"/>
      <c r="F30" s="224" t="s">
        <v>131</v>
      </c>
      <c r="G30" s="89"/>
      <c r="H30" s="163"/>
    </row>
    <row r="31" spans="1:8" x14ac:dyDescent="0.25">
      <c r="A31" s="105" t="s">
        <v>164</v>
      </c>
      <c r="B31" s="149">
        <f>IF(B13=N3,"2",IF(B13=N4,"3",IF(B13=N5,"2",IF(B13=N6,"3",IF(B13=N7,6,IF(B13=N8,8,IF(B13=N9,12,IF(B13=N10,16,IF(B13=N11,20,IF(B13=N12,23,IF(B13=N13,25,0)))))))))))</f>
        <v>0</v>
      </c>
      <c r="C31" s="150">
        <f>IF(B13=N3,"3",IF(B13=N4,"2",IF(B13=N5,"3",IF(B13=N6,"5",IF(B13=N7,8,IF(B13=N8,11,IF(B13=N9,16,IF(B13=N10,18,IF(B13=N11,25,IF(B13=N12,27,IF(B13=N13,28,0)))))))))))</f>
        <v>0</v>
      </c>
      <c r="D31" s="151">
        <f>IF(B13=N3,"Max de répétitions",IF(B13=N4,"Max de répétitions",IF(B13=N5,"Max de répétitions et minimum 3",IF(B13=N6,"Max de répétitions et minimum 4",IF(B13=N7,"Max de répétitions et minimum 7",IF(B13=N8,"Max de répétitions et minimum 9",IF(B13=N9,"Max de répétitions et minimum 13",IF(B13=N10,"Max de répétitions et minimum 16",IF(B13=N11,"Max de répétitions et minimum 20",IF(B13=N12,"Max de répétitions et minimum 21",IF(B13=N13,"Max de répétitions et minimum 25",0)))))))))))</f>
        <v>0</v>
      </c>
      <c r="E31" s="112"/>
      <c r="F31" s="225"/>
      <c r="G31" s="89"/>
      <c r="H31" s="68"/>
    </row>
    <row r="32" spans="1:8" ht="15.75" thickBot="1" x14ac:dyDescent="0.3">
      <c r="A32" s="88" t="s">
        <v>150</v>
      </c>
      <c r="B32" s="226" t="s">
        <v>324</v>
      </c>
      <c r="C32" s="227"/>
      <c r="D32" s="227"/>
      <c r="E32" s="227"/>
      <c r="F32" s="1"/>
      <c r="G32" s="1"/>
      <c r="H32" s="147" t="s">
        <v>325</v>
      </c>
    </row>
    <row r="33" spans="1:8" x14ac:dyDescent="0.25">
      <c r="A33" s="60" t="s">
        <v>2</v>
      </c>
      <c r="B33" s="64" t="s">
        <v>3</v>
      </c>
      <c r="C33" s="64" t="s">
        <v>4</v>
      </c>
      <c r="D33" s="64" t="s">
        <v>5</v>
      </c>
      <c r="E33" s="64" t="s">
        <v>6</v>
      </c>
      <c r="F33" s="64" t="s">
        <v>124</v>
      </c>
      <c r="G33" s="64" t="s">
        <v>125</v>
      </c>
      <c r="H33" s="64" t="s">
        <v>123</v>
      </c>
    </row>
    <row r="34" spans="1:8" x14ac:dyDescent="0.25">
      <c r="A34" s="105" t="s">
        <v>302</v>
      </c>
      <c r="B34" s="149">
        <f>IF(B15=O3,"4",IF(B15=O4,"8",IF(B15=O5,"16",IF(B15=O6,"22",IF(B15=O7,26,IF(B15=O8,32,IF(B15=O9,38,IF(B15=O10,44,IF(B15=O11,50,IF(B15=O12,52,IF(B15=O13,50,IF(B15=O14,50,IF(B15=O15,60,IF(B15=O16,74,0))))))))))))))</f>
        <v>0</v>
      </c>
      <c r="C34" s="150">
        <f>IF(B15=O3,"6",IF(B15=O4,"8",IF(B15=O5,"16",IF(B15=O6,"22",IF(B15=O7,26,IF(B15=O8,32,IF(B15=O9,36,IF(B15=O10,44,IF(B15=O11,50,IF(B15=O12,52,IF(B15=O13,42,IF(B15=O14,52,IF(B15=O15,60,IF(B15=O16,64,0))))))))))))))</f>
        <v>0</v>
      </c>
      <c r="D34" s="151">
        <f>IF(B15=O3,"6",IF(B15=O4,"8",IF(B15=O5,"16",IF(B15=O6,"22",IF(B15=O7,26,IF(B15=O8,30,IF(B15=O9,36,IF(B15=O10,40,IF(B15=O11,48,IF(B15=O12,54,IF(B15=O13,56,IF(B15=O14,56,IF(B15=O15,60,IF(B15=O16,54,0))))))))))))))</f>
        <v>0</v>
      </c>
      <c r="E34" s="68">
        <f>IF(B15=O3,"Max de répétitions et minimum 7",IF(B15=O4,"Max de répétitions et minimum 10",IF(B15=O5,"Max de répétitions et minimum 10",IF(B15=O6,"Max de répétitions et minimum 24",IF(B15=O7,"Max de répétitions et minimum 28",IF(B15=O8,"Max de répétitions et minimum 32",IF(B15=O9,"Max de répétitions et minimum 40",IF(B15=O10,"Max de répétitions et minimum 46",IF(B15=O11,"Max de répétitions et minimum 50",IF(B15=O12,"Max de répétitions et minimum 60",IF(B15=O13,"Max de répétitions et minimum 65",IF(B15=O14,"Max de répétitions et minimum 70",IF(B15=O15,"Max de répétitions et minimum 60",IF(B15=O16,"Max de répétitions et minimum 64",0))))))))))))))</f>
        <v>0</v>
      </c>
      <c r="F34" s="232" t="s">
        <v>130</v>
      </c>
      <c r="G34" s="232" t="s">
        <v>127</v>
      </c>
      <c r="H34" s="68"/>
    </row>
    <row r="35" spans="1:8" ht="15.75" thickBot="1" x14ac:dyDescent="0.3">
      <c r="A35" s="129" t="s">
        <v>304</v>
      </c>
      <c r="B35" s="152">
        <f>IF(B16=N3,"2",IF(B16=N4,"3",IF(B16=N5,"2",IF(B16=N6,"3",IF(B16=N7,6,IF(B16=N8,8,IF(B16=N9,12,IF(B16=N10,16,IF(B16=N11,20,IF(B16=N12,23,IF(B16=N13,25,0)))))))))))</f>
        <v>0</v>
      </c>
      <c r="C35" s="153">
        <f>IF(B16=N3,"3",IF(B16=N4,"2",IF(B16=N5,"3",IF(B16=N6,"5",IF(B16=N7,8,IF(B16=N8,11,IF(B16=N9,16,IF(B16=N10,18,IF(B16=N11,25,IF(B16=N12,27,IF(B16=N13,28,0)))))))))))</f>
        <v>0</v>
      </c>
      <c r="D35" s="154">
        <f>IF(B16=N3,"2",IF(B16=N4,"3",IF(B16=N5,"2",IF(B16=N6,"3",IF(B16=N7,6,IF(B16=N8,8,IF(B16=N9,12,IF(B16=N10,15,IF(B16=N11,19,IF(B16=N12,22,IF(B16=N13,24,0)))))))))))</f>
        <v>0</v>
      </c>
      <c r="E35" s="159">
        <f>IF(B16=N3,"Max de répétitions",IF(B16=N4,"Max de répétitions",IF(B16=N5,"Max de répétitions et minimum 3",IF(B16=N6,"Max de répétitions et minimum 4",IF(B16=N7,"Max de répétitions et minimum 7",IF(B16=N8,"Max de répétitions et minimum 9",IF(B16=N9,"Max de répétitions et minimum 13",IF(B16=N10,"Max de répétitions et minimum 16",IF(B16=N11,"Max de répétitions et minimum 20",IF(B16=N12,"Max de répétitions et minimum 21",IF(B16=N13,"Max de répétitions et minimum 25",0)))))))))))</f>
        <v>0</v>
      </c>
      <c r="F35" s="233"/>
      <c r="G35" s="233"/>
      <c r="H35" s="159"/>
    </row>
    <row r="36" spans="1:8" ht="15.75" thickBot="1" x14ac:dyDescent="0.3">
      <c r="A36" s="105" t="s">
        <v>174</v>
      </c>
      <c r="B36" s="160">
        <f>IF(B17=N3,"2",IF(B17=N4,"3",IF(B17=N5,"2",IF(B17=N6,"3",IF(B17=N7,6,IF(B17=N8,8,IF(B17=N9,12,IF(B17=N10,16,IF(B17=N11,20,IF(B17=N12,23,IF(B17=N13,25,0)))))))))))</f>
        <v>0</v>
      </c>
      <c r="C36" s="161">
        <f>IF(B17=N3,"3",IF(B17=N4,"2",IF(B17=N5,"3",IF(B17=N6,"5",IF(B17=N7,8,IF(B17=N8,11,IF(B17=N9,16,IF(B17=N10,18,IF(B17=N11,25,IF(B17=N12,27,IF(B17=N13,28,0)))))))))))</f>
        <v>0</v>
      </c>
      <c r="D36" s="162">
        <f>IF(B17=N3,"2",IF(B17=N4,"3",IF(B17=N5,"2",IF(B17=N6,"3",IF(B17=N7,6,IF(B17=N8,8,IF(B17=N9,12,IF(B17=N10,15,IF(B17=N11,19,IF(B17=N12,22,IF(B17=N13,24,0)))))))))))</f>
        <v>0</v>
      </c>
      <c r="E36" s="163">
        <f>IF(B17=N3,"Max de répétitions",IF(B17=N4,"Max de répétitions",IF(B17=N5,"Max de répétitions et minimum 3",IF(B17=N6,"Max de répétitions et minimum 4",IF(B17=N7,"Max de répétitions et minimum 7",IF(B17=N8,"Max de répétitions et minimum 9",IF(B17=N9,"Max de répétitions et minimum 13",IF(B17=N10,"Max de répétitions et minimum 16",IF(B17=N11,"Max de répétitions et minimum 20",IF(B17=N12,"Max de répétitions et minimum 21",IF(B17=N13,"Max de répétitions et minimum 25",0)))))))))))</f>
        <v>0</v>
      </c>
      <c r="F36" s="234" t="s">
        <v>173</v>
      </c>
      <c r="G36" s="234" t="s">
        <v>131</v>
      </c>
      <c r="H36" s="76" t="s">
        <v>137</v>
      </c>
    </row>
    <row r="37" spans="1:8" ht="15.75" thickBot="1" x14ac:dyDescent="0.3">
      <c r="A37" s="124" t="s">
        <v>305</v>
      </c>
      <c r="B37" s="152">
        <f>IF(B18=M3,"2",IF(B18=M4,"5",IF(B18=M5,"8",IF(B18=M6,"12",IF(B18=M7,14,IF(B18=M8,17,IF(B18=M9,22,IF(B18=M10,27,IF(B18=M11,30,IF(B18=M12,30,IF(B18=M13,30,IF(B18=M14,35,0))))))))))))</f>
        <v>0</v>
      </c>
      <c r="C37" s="153">
        <f>IF(B18=M3,"3",IF(B18=M4,"6",IF(B18=M5,"9",IF(B18=M6,"17",IF(B18=M7,18,IF(B18=M8,19,IF(B18=M9,24,IF(B18=M10,29,IF(B18=M11,34,IF(B18=M12,39,IF(B18=M13,44,IF(B18=M14,49,0))))))))))))</f>
        <v>0</v>
      </c>
      <c r="D37" s="154">
        <f>IF(B18=M3,"2",IF(B18=M4,"4",IF(B18=M5,"7",IF(B18=M6,"13",IF(B18=M7,14,IF(B18=M8,15,IF(B18=M9,20,IF(B18=M10,25,IF(B18=M11,30,IF(B18=M12,35,IF(B18=M13,40,IF(B18=M14,45,0))))))))))))</f>
        <v>0</v>
      </c>
      <c r="E37" s="159">
        <f>IF(B18=M3,"Max de répétitions et minimum 3",IF(B18=M4,"Max de répétitions et minimum 5",IF(B18=M5,"Max de répétitions et minimum 8",IF(B18=M6,"Max de répétitions et minimum 17",IF(B18=M7,"Max de répétitions et minimum 20",IF(B18=M8,"Max de répétitions et minimum 20",IF(B18=M9,"Max de répétitions et minimum 25",IF(B18=M10,"Max de répétitions et minimum 35",IF(B18=M11,"Max de répétitions et minimum 40",IF(B18=M12,"Max de répétitions et minimum 42",IF(B18=M13,"Max de répétitions et minimum 55",IF(B18=M14,"Max de répétitions et minimum 55",0))))))))))))</f>
        <v>0</v>
      </c>
      <c r="F37" s="233"/>
      <c r="G37" s="233"/>
      <c r="H37" s="159"/>
    </row>
    <row r="38" spans="1:8" x14ac:dyDescent="0.25">
      <c r="A38" s="105" t="s">
        <v>327</v>
      </c>
      <c r="B38" s="160">
        <f>IF(B19=N3,"2",IF(B19=N4,"3",IF(B19=N5,"2",IF(B19=N6,"3",IF(B19=N7,6,IF(B19=N8,8,IF(B19=N9,12,IF(B19=N10,16,IF(B19=N11,20,IF(B19=N12,23,IF(B19=N13,25,0)))))))))))</f>
        <v>0</v>
      </c>
      <c r="C38" s="161">
        <f>IF(B19=N3,"3",IF(B19=N4,"2",IF(B19=N5,"3",IF(B19=N6,"5",IF(B19=N7,8,IF(B19=N8,11,IF(B19=N9,16,IF(B19=N10,18,IF(B19=N11,25,IF(B19=N12,27,IF(B19=N13,28,0)))))))))))</f>
        <v>0</v>
      </c>
      <c r="D38" s="162">
        <f>IF(B19=N3,"Max de répétitions",IF(B19=N4,"Max de répétitions",IF(B19=N5,"Max de répétitions et minimum 3",IF(B19=N6,"Max de répétitions et minimum 4",IF(B19=N7,"Max de répétitions et minimum 7",IF(B19=N8,"Max de répétitions et minimum 9",IF(B19=N9,"Max de répétitions et minimum 13",IF(B19=N10,"Max de répétitions et minimum 16",IF(B19=N11,"Max de répétitions et minimum 20",IF(B19=N12,"Max de répétitions et minimum 21",IF(B19=N13,"Max de répétitions et minimum 25",0)))))))))))</f>
        <v>0</v>
      </c>
      <c r="E38" s="158"/>
      <c r="F38" s="234" t="s">
        <v>131</v>
      </c>
      <c r="G38" s="89"/>
      <c r="H38" s="163"/>
    </row>
    <row r="39" spans="1:8" x14ac:dyDescent="0.25">
      <c r="A39" s="105" t="s">
        <v>161</v>
      </c>
      <c r="B39" s="149">
        <f>IF(B20=N3,"2",IF(B20=N4,"3",IF(B20=N5,"2",IF(B20=N6,"3",IF(B20=N7,6,IF(B20=N8,8,IF(B20=N9,12,IF(B20=N10,16,IF(B20=N11,20,IF(B20=N12,23,IF(B20=N13,25,0)))))))))))</f>
        <v>0</v>
      </c>
      <c r="C39" s="150">
        <f>IF(B20=N3,"3",IF(B20=N4,"2",IF(B20=N5,"3",IF(B20=N6,"5",IF(B20=N7,8,IF(B20=N8,11,IF(B20=N9,16,IF(B20=N10,18,IF(B20=N11,25,IF(B20=N12,27,IF(B20=N13,28,0)))))))))))</f>
        <v>0</v>
      </c>
      <c r="D39" s="151">
        <f>IF(B20=N3,"Max de répétitions",IF(B20=N4,"Max de répétitions",IF(B20=N5,"Max de répétitions et minimum 3",IF(B20=N6,"Max de répétitions et minimum 4",IF(B20=N7,"Max de répétitions et minimum 7",IF(B20=N8,"Max de répétitions et minimum 9",IF(B20=N9,"Max de répétitions et minimum 13",IF(B20=N10,"Max de répétitions et minimum 16",IF(B20=N11,"Max de répétitions et minimum 20",IF(B20=N12,"Max de répétitions et minimum 21",IF(B20=N13,"Max de répétitions et minimum 25",0)))))))))))</f>
        <v>0</v>
      </c>
      <c r="E39" s="112"/>
      <c r="F39" s="235"/>
      <c r="G39" s="89"/>
      <c r="H39" s="68"/>
    </row>
    <row r="40" spans="1:8" ht="15.75" thickBot="1" x14ac:dyDescent="0.3">
      <c r="A40" s="214" t="s">
        <v>152</v>
      </c>
      <c r="B40" s="215"/>
      <c r="C40" s="215"/>
      <c r="D40" s="215"/>
      <c r="E40" s="215"/>
      <c r="F40" s="215"/>
      <c r="G40" s="215"/>
      <c r="H40" s="215"/>
    </row>
    <row r="41" spans="1:8" x14ac:dyDescent="0.25">
      <c r="A41" s="72" t="s">
        <v>153</v>
      </c>
      <c r="B41" s="226" t="s">
        <v>324</v>
      </c>
      <c r="C41" s="227"/>
      <c r="D41" s="227"/>
      <c r="E41" s="227"/>
      <c r="F41" s="1"/>
      <c r="G41" s="1"/>
      <c r="H41" s="147" t="s">
        <v>325</v>
      </c>
    </row>
    <row r="42" spans="1:8" ht="15.75" thickBot="1" x14ac:dyDescent="0.3">
      <c r="A42" s="73" t="s">
        <v>2</v>
      </c>
      <c r="B42" s="74" t="s">
        <v>3</v>
      </c>
      <c r="C42" s="74" t="s">
        <v>4</v>
      </c>
      <c r="D42" s="74" t="s">
        <v>5</v>
      </c>
      <c r="E42" s="74" t="s">
        <v>6</v>
      </c>
      <c r="F42" s="74" t="s">
        <v>124</v>
      </c>
      <c r="G42" s="74" t="s">
        <v>125</v>
      </c>
      <c r="H42" s="74" t="s">
        <v>123</v>
      </c>
    </row>
    <row r="43" spans="1:8" ht="15.75" thickBot="1" x14ac:dyDescent="0.3">
      <c r="A43" s="130" t="s">
        <v>148</v>
      </c>
      <c r="B43" s="149">
        <f>IF(B9=N3,"3",IF(B9=N4,"5",IF(B9=N5,"2",IF(B9=N6,"4",IF(B9=N7,6,IF(B9=N8,9,IF(B9=N9,13,IF(B9=N10,16,IF(B9=N11,22,IF(B9=N12,24,IF(B9=N13,25,0)))))))))))</f>
        <v>0</v>
      </c>
      <c r="C43" s="150">
        <f>IF(B9=N3,"8",IF(B9=N4,"9",IF(B9=N5,"3",IF(B9=N6,"6",IF(B9=N7,9,IF(B9=N8,12,IF(B9=N9,16,IF(B9=N10,20,IF(B9=N11,25,IF(B9=N12,28,IF(B9=N13,29,0)))))))))))</f>
        <v>0</v>
      </c>
      <c r="D43" s="150">
        <f>IF(B9=N3,"6",IF(B9=N4,"7",IF(B9=N5,"2",IF(B9=N6,"4",IF(B9=N7,6,IF(B9=N8,9,IF(B9=N9,12,IF(B9=N10,16,IF(B9=N11,21,IF(B9=N12,24,IF(B9=N13,25,0)))))))))))</f>
        <v>0</v>
      </c>
      <c r="E43" s="151">
        <f>IF(B9=N3,"6",IF(B9=N4,"7",IF(B9=N5,"Max de répétitions et minimum 4",IF(B9=N6,"Max de répétitions et minimum 6",IF(B9=N7,"Max de répétitions et minimum 9",IF(B9=N8,"Max de répétitions et minimum 11",IF(B9=N9,"Max de répétitions et minimum 16",IF(B9=N10,"Max de répétitions et minimum 19",IF(B9=N11,"Max de répétitions et minimum 25",IF(B9=N12,"Max de répétitions et minimum 28",IF(B9=N13,"Max de répétitions et minimum 28",0)))))))))))</f>
        <v>0</v>
      </c>
      <c r="F43" s="232" t="s">
        <v>128</v>
      </c>
      <c r="G43" s="232" t="s">
        <v>127</v>
      </c>
      <c r="H43" s="166" t="str">
        <f>IF(OR(B9=N3,B9=N4),"Toutes les répétitions en excentrique : voir vidéo","")</f>
        <v/>
      </c>
    </row>
    <row r="44" spans="1:8" ht="15.75" thickBot="1" x14ac:dyDescent="0.3">
      <c r="A44" s="131" t="s">
        <v>155</v>
      </c>
      <c r="B44" s="152">
        <f>IF(B8=N3,"3",IF(B8=N4,"5",IF(B8=N5,"2",IF(B8=N6,"4",IF(B8=N7,6,IF(B8=N8,9,IF(B8=N9,13,IF(B8=N10,16,IF(B8=N11,22,IF(B8=N12,24,IF(B8=N13,25,0)))))))))))</f>
        <v>0</v>
      </c>
      <c r="C44" s="153">
        <f>IF(B8=N3,"8",IF(B8=N4,"9",IF(B8=N5,"3",IF(B8=N6,"6",IF(B8=N7,9,IF(B8=N8,12,IF(B8=N9,16,IF(B8=N10,20,IF(B8=N11,25,IF(B8=N12,28,IF(B8=N13,29,0)))))))))))</f>
        <v>0</v>
      </c>
      <c r="D44" s="153">
        <f>IF(B8=N3,"6",IF(B8=N4,"7",IF(B8=N5,"2",IF(B8=N6,"4",IF(B8=N7,6,IF(B8=N8,9,IF(B8=N9,12,IF(B8=N10,16,IF(B8=N11,21,IF(B8=N12,24,IF(B8=N13,25,0)))))))))))</f>
        <v>0</v>
      </c>
      <c r="E44" s="154">
        <f>IF(B8=N3,"6",IF(B8=N4,"7",IF(B8=N5,"Max de répétitions et minimum 4",IF(B8=N6,"Max de répétitions et minimum 6",IF(B8=N7,"Max de répétitions et minimum 9",IF(B8=N8,"Max de répétitions et minimum 11",IF(B8=N9,"Max de répétitions et minimum 16",IF(B8=N10,"Max de répétitions et minimum 19",IF(B8=N11,"Max de répétitions et minimum 25",IF(B8=N12,"Max de répétitions et minimum 28",IF(B8=N13,"Max de répétitions et minimum 28",0)))))))))))</f>
        <v>0</v>
      </c>
      <c r="F44" s="233"/>
      <c r="G44" s="233"/>
      <c r="H44" s="76" t="str">
        <f>IF(OR(B8=N3,B8=N4),"Toutes les répétitions en excentrique","")</f>
        <v/>
      </c>
    </row>
    <row r="45" spans="1:8" x14ac:dyDescent="0.25">
      <c r="A45" s="132" t="s">
        <v>147</v>
      </c>
      <c r="B45" s="155">
        <f>IF(B11=M3,"3",IF(B11=M4,"6",IF(B11=M5,"9",IF(B11=M6,"14",IF(B11=M7,20,IF(B11=M8,10,IF(B11=M9,10,IF(B11=M10,19,IF(B11=M11,19,IF(B11=M12,20,IF(B11=M13,22,IF(B11=M14,22,0))))))))))))</f>
        <v>0</v>
      </c>
      <c r="C45" s="156">
        <f>IF(B11=M3,"4",IF(B11=M4,"7",IF(B11=M5,"10",IF(B11=M6,"19",IF(B11=M7,25,IF(B11=M8,13,IF(B11=M9,15,IF(B11=M10,22,IF(B11=M11,23,IF(B11=M12,23,IF(B11=M13,27,IF(B11=M14,30,0))))))))))))</f>
        <v>0</v>
      </c>
      <c r="D45" s="156">
        <f>IF(B11=M3,"2",IF(B11=M4,"6",IF(B11=M5,"8",IF(B11=M6,"14",IF(B11=M7,15,IF(B11=M8,10,IF(B11=M9,18,IF(B11=M10,18,IF(B11=M11,19,IF(B11=M12,20,IF(B11=M13,24,IF(B11=M14,24,0))))))))))))</f>
        <v>0</v>
      </c>
      <c r="E45" s="157">
        <f>IF(B11=M3,"Max de répétitions et minimum 4",IF(B11=M4,"Max de répétitions et minimum 7",IF(B11=M5,"Max de répétitions et minimum 10",IF(B11=M6,"Max de répétitions et minimum 19",IF(B11=M7,"Max de répétitions et minimum 23",IF(B11=M8,"Max de répétitions et minimum 25",IF(B11=M9,"Max de répétitions et minimum 30",IF(B11=M10,"Max de répétitions et minimum 35",IF(B11=M11,"Max de répétitions et minimum 37",IF(B11=M12,"Max de répétitions et minimum 53",IF(B11=M13,"Max de répétitions et minimum 58",IF(B11=M14,"Max de répétitions et minimum 59",0))))))))))))</f>
        <v>0</v>
      </c>
      <c r="F45" s="234" t="s">
        <v>131</v>
      </c>
      <c r="G45" s="234" t="s">
        <v>131</v>
      </c>
      <c r="H45" s="68"/>
    </row>
    <row r="46" spans="1:8" ht="15.75" thickBot="1" x14ac:dyDescent="0.3">
      <c r="A46" s="123" t="s">
        <v>328</v>
      </c>
      <c r="B46" s="152">
        <f>IF(B10=N3,"3",IF(B10=N4,"3",IF(B10=N5,"2",IF(B10=N6,"4",IF(B10=N7,6,IF(B10=N8,9,IF(B10=N9,13,IF(B10=N10,16,IF(B10=N11,22,IF(B10=N12,24,IF(B10=N13,25,0)))))))))))</f>
        <v>0</v>
      </c>
      <c r="C46" s="153">
        <f>IF(B10=N3,"3",IF(B10=N4,"4",IF(B10=N5,"3",IF(B10=N6,"6",IF(B10=N7,9,IF(B10=N8,12,IF(B10=N9,16,IF(B10=N10,20,IF(B10=N11,25,IF(B10=N12,28,IF(B10=N13,29,0)))))))))))</f>
        <v>0</v>
      </c>
      <c r="D46" s="153">
        <f>IF(B10=N3,"2",IF(B10=N4,"3",IF(B10=N5,"2",IF(B10=N6,"4",IF(B10=N7,6,IF(B10=N8,9,IF(B10=N9,12,IF(B10=N10,16,IF(B10=N11,21,IF(B10=N12,24,IF(B10=N13,25,0)))))))))))</f>
        <v>0</v>
      </c>
      <c r="E46" s="154">
        <f>IF(B10=N3,"Max de répétitions",IF(B10=N4,"Max de répétitions",IF(B10=N5,"Max de répétitions et minimum 4",IF(B10=N6,"Max de répétitions et minimum 6",IF(B10=N7,"Max de répétitions et minimum 9",IF(B10=N8,"Max de répétitions et minimum 11",IF(B10=N9,"Max de répétitions et minimum 16",IF(B10=N10,"Max de répétitions et minimum 19",IF(B10=N11,"Max de répétitions et minimum 25",IF(B10=N12,"Max de répétitions et minimum 28",IF(B10=N13,"Max de répétitions et minimum 28",0)))))))))))</f>
        <v>0</v>
      </c>
      <c r="F46" s="233"/>
      <c r="G46" s="233"/>
      <c r="H46" s="68"/>
    </row>
    <row r="47" spans="1:8" x14ac:dyDescent="0.25">
      <c r="A47" s="126" t="s">
        <v>164</v>
      </c>
      <c r="B47" s="155">
        <f>IF(B13=N3,"3",IF(B13=N4,"3",IF(B13=N5,"2",IF(B13=N6,"4",IF(B13=N7,6,IF(B13=N8,9,IF(B13=N9,13,IF(B13=N10,16,IF(B13=N11,22,IF(B13=N12,24,IF(B13=N13,25,0)))))))))))</f>
        <v>0</v>
      </c>
      <c r="C47" s="156">
        <f>IF(B13=N3,"3",IF(B13=N4,"4",IF(B13=N5,"3",IF(B13=N6,"6",IF(B13=N7,9,IF(B13=N8,12,IF(B13=N9,16,IF(B13=N10,20,IF(B13=N11,25,IF(B13=N12,28,IF(B13=N13,29,0)))))))))))</f>
        <v>0</v>
      </c>
      <c r="D47" s="157">
        <f>IF(B13=N3,"Max de répétitions",IF(B13=N4,"Max de répétitions",IF(B13=N5,"Max de répétitions et minimum 4",IF(B13=N6,"Max de répétitions et minimum 6",IF(B13=N7,"Max de répétitions et minimum 9",IF(B13=N8,"Max de répétitions et minimum 11",IF(B13=N9,"Max de répétitions et minimum 16",IF(B13=N10,"Max de répétitions et minimum 19",IF(B13=N11,"Max de répétitions et minimum 25",IF(B13=N12,"Max de répétitions et minimum 28",IF(B13=N13,"Max de répétitions et minimum 28",0)))))))))))</f>
        <v>0</v>
      </c>
      <c r="E47" s="158"/>
      <c r="F47" s="224" t="s">
        <v>131</v>
      </c>
      <c r="G47" s="89"/>
      <c r="H47" s="68"/>
    </row>
    <row r="48" spans="1:8" x14ac:dyDescent="0.25">
      <c r="A48" s="126" t="s">
        <v>157</v>
      </c>
      <c r="B48" s="149">
        <f>IF(B12=N3,"3",IF(B12=N4,"3",IF(B12=N5,"2",IF(B12=N6,"4",IF(B12=N7,6,IF(B12=N8,9,IF(B12=N9,13,IF(B12=N10,16,IF(B12=N11,22,IF(B12=N12,24,IF(B12=N13,25,0)))))))))))</f>
        <v>0</v>
      </c>
      <c r="C48" s="150">
        <f>IF(B12=N3,"3",IF(B12=N4,"4",IF(B12=N5,"3",IF(B12=N6,"6",IF(B12=N7,9,IF(B12=N8,12,IF(B12=N9,16,IF(B12=N10,20,IF(B12=N11,25,IF(B12=N12,28,IF(B12=N13,29,0)))))))))))</f>
        <v>0</v>
      </c>
      <c r="D48" s="151">
        <f>IF(B12=N3,"Max de répétitions",IF(B12=N4,"Max de répétitions",IF(B12=N5,"Max de répétitions et minimum 4",IF(B12=N6,"Max de répétitions et minimum 6",IF(B12=N7,"Max de répétitions et minimum 9",IF(B12=N8,"Max de répétitions et minimum 11",IF(B12=N9,"Max de répétitions et minimum 16",IF(B12=N10,"Max de répétitions et minimum 19",IF(B12=N11,"Max de répétitions et minimum 25",IF(B12=N12,"Max de répétitions et minimum 28",IF(B12=N13,"Max de répétitions et minimum 28",0)))))))))))</f>
        <v>0</v>
      </c>
      <c r="E48" s="112"/>
      <c r="F48" s="225"/>
      <c r="G48" s="89"/>
      <c r="H48" s="68"/>
    </row>
    <row r="49" spans="1:8" x14ac:dyDescent="0.25">
      <c r="A49" s="95" t="s">
        <v>156</v>
      </c>
      <c r="B49" s="230" t="s">
        <v>324</v>
      </c>
      <c r="C49" s="231"/>
      <c r="D49" s="231"/>
      <c r="E49" s="231"/>
      <c r="F49" s="1"/>
      <c r="G49" s="1"/>
      <c r="H49" s="147" t="s">
        <v>325</v>
      </c>
    </row>
    <row r="50" spans="1:8" x14ac:dyDescent="0.25">
      <c r="A50" s="73" t="s">
        <v>2</v>
      </c>
      <c r="B50" s="74" t="s">
        <v>3</v>
      </c>
      <c r="C50" s="74" t="s">
        <v>4</v>
      </c>
      <c r="D50" s="74" t="s">
        <v>5</v>
      </c>
      <c r="E50" s="74" t="s">
        <v>6</v>
      </c>
      <c r="F50" s="74" t="s">
        <v>124</v>
      </c>
      <c r="G50" s="74" t="s">
        <v>125</v>
      </c>
      <c r="H50" s="74" t="s">
        <v>123</v>
      </c>
    </row>
    <row r="51" spans="1:8" x14ac:dyDescent="0.25">
      <c r="A51" s="105" t="s">
        <v>302</v>
      </c>
      <c r="B51" s="149">
        <f>IF(B15=O3,"6",IF(B15=O4,"10",IF(B15=O5,"16",IF(B15=O6,"22",IF(B15=O7,26,IF(B15=O8,32,IF(B15=O9,40,IF(B15=O10,44,IF(B15=O11,50,IF(B15=O12,54,IF(B15=O13,50,IF(B15=O14,50,IF(B15=O15,58,IF(B15=O16,64,0))))))))))))))</f>
        <v>0</v>
      </c>
      <c r="C51" s="150">
        <f>IF(B15=O3,"6",IF(B15=O4,"10",IF(B15=O5,"14",IF(B15=O6,"22",IF(B15=O7,26,IF(B15=O8,32,IF(B15=O9,38,IF(B15=O10,44,IF(B15=O11,50,IF(B15=O12,54,IF(B15=O13,50,IF(B15=O14,52,IF(B15=O15,54,IF(B15=O16,64,0))))))))))))))</f>
        <v>0</v>
      </c>
      <c r="D51" s="151">
        <f>IF(B15=O3,"6",IF(B15=O4,"10",IF(B15=O5,"15",IF(B15=O6,"23",IF(B15=O7,27,IF(B15=O8,32,IF(B15=O9,38,IF(B15=O10,46,IF(B15=O11,50,IF(B15=O12,54,IF(B15=O13,42,IF(B15=O14,54,IF(B15=O15,57,IF(B15=O16,62,0))))))))))))))</f>
        <v>0</v>
      </c>
      <c r="E51" s="68">
        <f>IF(B15=O3,"Max de répétitions et minimum 8",IF(B15=O4,"Max de répétitions et minimum 10",IF(B15=O5,"Max de répétitions et minimum 18",IF(B15=O6,"Max de répétitions et minimum 24",IF(B15=O7,"Max de répétitions et minimum 28",IF(B15=O8,"Max de répétitions et minimum 34",IF(B15=O9,"Max de répétitions et minimum 40",IF(B15=O10,"Max de répétitions et minimum 46",IF(B15=O11,"Max de répétitions et minimum 52",IF(B15=O12,"Max de répétitions et minimum 60",IF(B15=O13,"Max de répétitions et minimum 44",IF(B15=O14,"Max de répétitions et minimum 56",IF(B15=O15,"Max de répétitions et minimum 60",IF(B15=O16,"Max de répétitions et minimum 64",0))))))))))))))</f>
        <v>0</v>
      </c>
      <c r="F51" s="232" t="s">
        <v>130</v>
      </c>
      <c r="G51" s="232" t="s">
        <v>127</v>
      </c>
      <c r="H51" s="68"/>
    </row>
    <row r="52" spans="1:8" ht="15.75" thickBot="1" x14ac:dyDescent="0.3">
      <c r="A52" s="129" t="s">
        <v>304</v>
      </c>
      <c r="B52" s="152">
        <f>IF(B16=N3,"3",IF(B16=N4,"3",IF(B16=N5,"2",IF(B16=N6,"4",IF(B16=N7,6,IF(B16=N8,9,IF(B16=N9,13,IF(B16=N10,16,IF(B16=N11,22,IF(B16=N12,24,IF(B16=N13,25,0)))))))))))</f>
        <v>0</v>
      </c>
      <c r="C52" s="153">
        <f>IF(B16=N3,"3",IF(B16=N4,"4",IF(B16=N5,"3",IF(B16=N6,"6",IF(B16=N7,9,IF(B16=N8,12,IF(B16=N9,16,IF(B16=N10,20,IF(B16=N11,25,IF(B16=N12,28,IF(B16=N13,29,0)))))))))))</f>
        <v>0</v>
      </c>
      <c r="D52" s="154">
        <f>IF(B16=N3,"2",IF(B16=N4,"3",IF(B16=N5,"2",IF(B16=N6,"4",IF(B16=N7,6,IF(B16=N8,9,IF(B16=N9,12,IF(B16=N10,16,IF(B16=N11,21,IF(B16=N12,24,IF(B16=N13,25,0)))))))))))</f>
        <v>0</v>
      </c>
      <c r="E52" s="159">
        <f>IF(B16=N3,"Max de répétitions",IF(B16=N4,"Max de répétitions",IF(B16=N5,"Max de répétitions et minimum 4",IF(B16=N6,"Max de répétitions et minimum 6",IF(B16=N7,"Max de répétitions et minimum 9",IF(B16=N8,"Max de répétitions et minimum 11",IF(B16=N9,"Max de répétitions et minimum 16",IF(B16=N10,"Max de répétitions et minimum 19",IF(B16=N11,"Max de répétitions et minimum 25",IF(B16=N12,"Max de répétitions et minimum 28",IF(B16=N13,"Max de répétitions et minimum 28",0)))))))))))</f>
        <v>0</v>
      </c>
      <c r="F52" s="233"/>
      <c r="G52" s="233"/>
      <c r="H52" s="159"/>
    </row>
    <row r="53" spans="1:8" ht="15.75" thickBot="1" x14ac:dyDescent="0.3">
      <c r="A53" s="105" t="s">
        <v>174</v>
      </c>
      <c r="B53" s="160">
        <f>IF(B17=N3,"3",IF(B17=N4,"3",IF(B17=N5,"2",IF(B17=N6,"4",IF(B17=N7,6,IF(B17=N8,9,IF(B17=N9,13,IF(B17=N10,16,IF(B17=N11,22,IF(B17=N12,24,IF(B17=N13,25,0)))))))))))</f>
        <v>0</v>
      </c>
      <c r="C53" s="161">
        <f>IF(B17=N3,"3",IF(B17=N4,"4",IF(B17=N5,"3",IF(B17=N6,"6",IF(B17=N7,9,IF(B17=N8,12,IF(B17=N9,16,IF(B17=N10,20,IF(B17=N11,25,IF(B17=N12,28,IF(B17=N13,29,0)))))))))))</f>
        <v>0</v>
      </c>
      <c r="D53" s="162">
        <f>IF(B17=N3,"2",IF(B17=N4,"3",IF(B17=N5,"2",IF(B17=N6,"4",IF(B17=N7,6,IF(B17=N8,9,IF(B17=N9,12,IF(B17=N10,16,IF(B17=N11,21,IF(B17=N12,24,IF(B17=N13,25,0)))))))))))</f>
        <v>0</v>
      </c>
      <c r="E53" s="163">
        <f>IF(B17=N3,"Max de répétitions",IF(B17=N4,"Max de répétitions",IF(B17=N5,"Max de répétitions et minimum 4",IF(B17=N6,"Max de répétitions et minimum 6",IF(B17=N7,"Max de répétitions et minimum 9",IF(B17=N8,"Max de répétitions et minimum 11",IF(B17=N9,"Max de répétitions et minimum 16",IF(B17=N10,"Max de répétitions et minimum 19",IF(B17=N11,"Max de répétitions et minimum 25",IF(B17=N12,"Max de répétitions et minimum 28",IF(B17=N13,"Max de répétitions et minimum 28",0)))))))))))</f>
        <v>0</v>
      </c>
      <c r="F53" s="234" t="s">
        <v>173</v>
      </c>
      <c r="G53" s="234" t="s">
        <v>131</v>
      </c>
      <c r="H53" s="76" t="s">
        <v>137</v>
      </c>
    </row>
    <row r="54" spans="1:8" ht="15.75" thickBot="1" x14ac:dyDescent="0.3">
      <c r="A54" s="124" t="s">
        <v>305</v>
      </c>
      <c r="B54" s="152">
        <f>IF(B18=M3,"3",IF(B18=M4,"6",IF(B18=M5,"9",IF(B18=M6,"14",IF(B18=M7,20,IF(B18=M8,10,IF(B18=M9,10,IF(B18=M10,19,IF(B18=M11,19,IF(B18=M12,20,IF(B18=M13,22,IF(B18=M14,22,0))))))))))))</f>
        <v>0</v>
      </c>
      <c r="C54" s="153">
        <f>IF(B18=M3,"4",IF(B18=M4,"7",IF(B18=M5,"10",IF(B18=M6,"19",IF(B18=M7,25,IF(B18=M8,13,IF(B18=M9,15,IF(B18=M10,22,IF(B18=M11,23,IF(B18=M12,23,IF(B18=M13,27,IF(B18=M14,30,0))))))))))))</f>
        <v>0</v>
      </c>
      <c r="D54" s="154">
        <f>IF(B18=M3,"2",IF(B18=M4,"6",IF(B18=M5,"8",IF(B18=M6,"14",IF(B18=M7,15,IF(B18=M8,10,IF(B18=M9,18,IF(B18=M10,18,IF(B18=M11,19,IF(B18=M12,20,IF(B18=M13,24,IF(B18=M14,24,0))))))))))))</f>
        <v>0</v>
      </c>
      <c r="E54" s="159">
        <f>IF(B18=M3,"Max de répétitions et minimum 4",IF(B18=M4,"Max de répétitions et minimum 7",IF(B18=M5,"Max de répétitions et minimum 10",IF(B18=M6,"Max de répétitions et minimum 19",IF(B18=M7,"Max de répétitions et minimum 23",IF(B18=M8,"Max de répétitions et minimum 25",IF(B18=M9,"Max de répétitions et minimum 30",IF(B18=M10,"Max de répétitions et minimum 35",IF(B18=M11,"Max de répétitions et minimum 37",IF(B18=M12,"Max de répétitions et minimum 53",IF(B18=M13,"Max de répétitions et minimum 58",IF(B18=M14,"Max de répétitions et minimum 59",0))))))))))))</f>
        <v>0</v>
      </c>
      <c r="F54" s="233"/>
      <c r="G54" s="233"/>
      <c r="H54" s="159"/>
    </row>
    <row r="55" spans="1:8" x14ac:dyDescent="0.25">
      <c r="A55" s="105" t="s">
        <v>327</v>
      </c>
      <c r="B55" s="160">
        <f>IF(B19=N3,"3",IF(B19=N4,"3",IF(B19=N5,"2",IF(B19=N6,"4",IF(B19=N7,6,IF(B19=N8,9,IF(B19=N9,13,IF(B19=N10,16,IF(B19=N11,22,IF(B19=N12,24,IF(B19=N13,25,0)))))))))))</f>
        <v>0</v>
      </c>
      <c r="C55" s="161">
        <f>IF(B19=N3,"3",IF(B19=N4,"4",IF(B19=N5,"3",IF(B19=N6,"6",IF(B19=N7,9,IF(B19=N8,12,IF(B19=N9,16,IF(B19=N10,20,IF(B19=N11,25,IF(B19=N12,28,IF(B19=N13,29,0)))))))))))</f>
        <v>0</v>
      </c>
      <c r="D55" s="162">
        <f>IF(B19=N3,"Max de répétitions",IF(B19=N4,"Max de répétitions",IF(B19=N5,"Max de répétitions et minimum 4",IF(B19=N6,"Max de répétitions et minimum 6",IF(B19=N7,"Max de répétitions et minimum 9",IF(B19=N8,"Max de répétitions et minimum 11",IF(B19=N9,"Max de répétitions et minimum 16",IF(B19=N10,"Max de répétitions et minimum 19",IF(B19=N11,"Max de répétitions et minimum 25",IF(B19=N12,"Max de répétitions et minimum 28",IF(B19=N13,"Max de répétitions et minimum 28",0)))))))))))</f>
        <v>0</v>
      </c>
      <c r="E55" s="158"/>
      <c r="F55" s="234" t="s">
        <v>131</v>
      </c>
      <c r="G55" s="89"/>
      <c r="H55" s="163"/>
    </row>
    <row r="56" spans="1:8" x14ac:dyDescent="0.25">
      <c r="A56" s="105" t="s">
        <v>161</v>
      </c>
      <c r="B56" s="149">
        <f>IF(B20=N3,"3",IF(B20=N4,"3",IF(B20=N5,"2",IF(B20=N6,"4",IF(B20=N7,6,IF(B20=N8,9,IF(B20=N9,13,IF(B20=N10,16,IF(B20=N11,22,IF(B20=N12,24,IF(B20=N13,25,0)))))))))))</f>
        <v>0</v>
      </c>
      <c r="C56" s="150">
        <f>IF(B20=N3,"3",IF(B20=N4,"4",IF(B20=N5,"3",IF(B20=N6,"6",IF(B20=N7,9,IF(B20=N8,12,IF(B20=N9,16,IF(B20=N10,20,IF(B20=N11,25,IF(B20=N12,28,IF(B20=N13,29,0)))))))))))</f>
        <v>0</v>
      </c>
      <c r="D56" s="151">
        <f>IF(B20=N3,"Max de répétitions",IF(B20=N4,"Max de répétitions",IF(B20=N5,"Max de répétitions et minimum 4",IF(B20=N6,"Max de répétitions et minimum 6",IF(B20=N7,"Max de répétitions et minimum 9",IF(B20=N8,"Max de répétitions et minimum 11",IF(B20=N9,"Max de répétitions et minimum 16",IF(B20=N10,"Max de répétitions et minimum 19",IF(B20=N11,"Max de répétitions et minimum 25",IF(B20=N12,"Max de répétitions et minimum 28",IF(B20=N13,"Max de répétitions et minimum 28",0)))))))))))</f>
        <v>0</v>
      </c>
      <c r="E56" s="112"/>
      <c r="F56" s="235"/>
      <c r="G56" s="89"/>
      <c r="H56" s="68"/>
    </row>
    <row r="57" spans="1:8" x14ac:dyDescent="0.25">
      <c r="A57" s="214" t="s">
        <v>139</v>
      </c>
      <c r="B57" s="215"/>
      <c r="C57" s="215"/>
      <c r="D57" s="215"/>
      <c r="E57" s="215"/>
      <c r="F57" s="215"/>
      <c r="G57" s="215"/>
      <c r="H57" s="215"/>
    </row>
    <row r="58" spans="1:8" x14ac:dyDescent="0.25">
      <c r="A58" s="214" t="s">
        <v>140</v>
      </c>
      <c r="B58" s="215"/>
      <c r="C58" s="215"/>
      <c r="D58" s="215"/>
      <c r="E58" s="215"/>
      <c r="F58" s="215"/>
      <c r="G58" s="215"/>
      <c r="H58" s="215"/>
    </row>
    <row r="59" spans="1:8" x14ac:dyDescent="0.25">
      <c r="A59" s="77"/>
      <c r="B59" s="77"/>
      <c r="C59" s="77"/>
      <c r="D59" s="77"/>
      <c r="E59" s="77"/>
      <c r="F59" s="77"/>
      <c r="G59" s="77"/>
      <c r="H59" s="77"/>
    </row>
    <row r="60" spans="1:8" ht="15.75" thickBot="1" x14ac:dyDescent="0.3">
      <c r="A60" s="213" t="s">
        <v>141</v>
      </c>
      <c r="B60" s="213"/>
      <c r="C60" s="213"/>
      <c r="D60" s="213"/>
      <c r="E60" s="213"/>
      <c r="F60" s="213"/>
      <c r="G60" s="213"/>
      <c r="H60" s="213"/>
    </row>
    <row r="61" spans="1:8" x14ac:dyDescent="0.25">
      <c r="A61" s="72" t="s">
        <v>151</v>
      </c>
      <c r="B61" s="230" t="s">
        <v>324</v>
      </c>
      <c r="C61" s="231"/>
      <c r="D61" s="231"/>
      <c r="E61" s="231"/>
      <c r="F61" s="1"/>
      <c r="G61" s="1"/>
      <c r="H61" s="147" t="s">
        <v>325</v>
      </c>
    </row>
    <row r="62" spans="1:8" ht="15.75" thickBot="1" x14ac:dyDescent="0.3">
      <c r="A62" s="73" t="s">
        <v>2</v>
      </c>
      <c r="B62" s="74" t="s">
        <v>3</v>
      </c>
      <c r="C62" s="74" t="s">
        <v>4</v>
      </c>
      <c r="D62" s="74" t="s">
        <v>5</v>
      </c>
      <c r="E62" s="74" t="s">
        <v>6</v>
      </c>
      <c r="F62" s="74" t="s">
        <v>124</v>
      </c>
      <c r="G62" s="74" t="s">
        <v>125</v>
      </c>
      <c r="H62" s="74" t="s">
        <v>123</v>
      </c>
    </row>
    <row r="63" spans="1:8" ht="15.75" thickBot="1" x14ac:dyDescent="0.3">
      <c r="A63" s="104" t="s">
        <v>155</v>
      </c>
      <c r="B63" s="149">
        <f>IF(B8=N3,"4",IF(B8=N4,"6",IF(B8=N5,"3",IF(B8=N6,"5",IF(B8=N7,7,IF(B8=N8,9,IF(B8=N9,13,IF(B8=N10,17,IF(B8=N11,23,IF(B8=N12,25,IF(B8=N13,25,0)))))))))))</f>
        <v>0</v>
      </c>
      <c r="C63" s="150">
        <f>IF(B8=N3,"9",IF(B8=N4,"10",IF(B8=N5,"4",IF(B8=N6,"7",IF(B8=N7,10,IF(B8=N8,13,IF(B8=N9,16,IF(B8=N10,21,IF(B8=N11,26,IF(B8=N12,29,IF(B8=N13,30,0)))))))))))</f>
        <v>0</v>
      </c>
      <c r="D63" s="150">
        <f>IF(B8=N3,"6",IF(B8=N4,"8",IF(B8=N5,"2",IF(B8=N6,"5",IF(B8=N7,6,IF(B8=N8,9,IF(B8=N9,12,IF(B8=N10,16,IF(B8=N11,23,IF(B8=N12,24,IF(B8=N13,25,0)))))))))))</f>
        <v>0</v>
      </c>
      <c r="E63" s="151">
        <f>IF(B8=N3,"6",IF(B8=N4,"8",IF(B8=N5,"Max de répétitions et minimum 4",IF(B8=N6,"Max de répétitions et minimum 6",IF(B8=N7,"Max de répétitions et minimum 9",IF(B8=N8,"Max de répétitions et minimum 12",IF(B8=N9,"Max de répétitions et minimum 16",IF(B8=N10,"Max de répétitions et minimum 20",IF(B8=N11,"Max de répétitions et minimum 25",IF(B8=N12,"Max de répétitions et minimum 29",IF(B8=N13,"Max de répétitions et minimum 29",0)))))))))))</f>
        <v>0</v>
      </c>
      <c r="F63" s="228" t="s">
        <v>128</v>
      </c>
      <c r="G63" s="228" t="s">
        <v>127</v>
      </c>
      <c r="H63" s="76" t="str">
        <f>IF(OR(B8=N3,B8=N4),"Toutes les répétitions en excentrique","")</f>
        <v/>
      </c>
    </row>
    <row r="64" spans="1:8" ht="15.75" thickBot="1" x14ac:dyDescent="0.3">
      <c r="A64" s="124" t="s">
        <v>148</v>
      </c>
      <c r="B64" s="152">
        <f>IF(B9=N3,"4",IF(B9=N4,"6",IF(B9=N5,"3",IF(B9=N6,"5",IF(B9=N7,7,IF(B9=N8,9,IF(B9=N9,13,IF(B9=N10,17,IF(B9=N11,23,IF(B9=N12,25,IF(B9=N13,25,0)))))))))))</f>
        <v>0</v>
      </c>
      <c r="C64" s="153">
        <f>IF(B9=N3,"9",IF(B9=N4,"10",IF(B9=N5,"4",IF(B9=N6,"7",IF(B9=N7,10,IF(B9=N8,13,IF(B9=N9,16,IF(B9=N10,21,IF(B9=N11,26,IF(B9=N12,29,IF(B9=N13,30,0)))))))))))</f>
        <v>0</v>
      </c>
      <c r="D64" s="153">
        <f>IF(B9=N3,"6",IF(B9=N4,"8",IF(B9=N5,"2",IF(B9=N6,"5",IF(B9=N7,6,IF(B9=N8,9,IF(B9=N9,12,IF(B9=N10,16,IF(B9=N11,23,IF(B9=N12,24,IF(B9=N13,25,0)))))))))))</f>
        <v>0</v>
      </c>
      <c r="E64" s="154">
        <f>IF(B9=N3,"6",IF(B9=N4,"8",IF(B9=N5,"Max de répétitions et minimum 4",IF(B9=N6,"Max de répétitions et minimum 6",IF(B9=N7,"Max de répétitions et minimum 9",IF(B9=N8,"Max de répétitions et minimum 12",IF(B9=N9,"Max de répétitions et minimum 16",IF(B9=N10,"Max de répétitions et minimum 20",IF(B9=N11,"Max de répétitions et minimum 25",IF(B9=N12,"Max de répétitions et minimum 29",IF(B9=N13,"Max de répétitions et minimum 29",0)))))))))))</f>
        <v>0</v>
      </c>
      <c r="F64" s="229"/>
      <c r="G64" s="229"/>
      <c r="H64" s="164" t="str">
        <f>IF(OR(B9=N3,B9=N4),"Toutes les répétitions en excentrique : voir vidéo","")</f>
        <v/>
      </c>
    </row>
    <row r="65" spans="1:8" x14ac:dyDescent="0.25">
      <c r="A65" s="105" t="s">
        <v>328</v>
      </c>
      <c r="B65" s="155">
        <f>IF(B10=N3,"4",IF(B10=N4,"6",IF(B10=N5,"3",IF(B10=N6,"5",IF(B10=N7,7,IF(B10=N8,9,IF(B10=N9,13,IF(B10=N10,17,IF(B10=N11,23,IF(B10=N12,25,IF(B10=N13,25,0)))))))))))</f>
        <v>0</v>
      </c>
      <c r="C65" s="156">
        <f>IF(B10=N3,"4",IF(B10=N4,"5",IF(B10=N5,"4",IF(B10=N6,"7",IF(B10=N7,10,IF(B10=N8,13,IF(B10=N9,16,IF(B10=N10,21,IF(B10=N11,26,IF(B10=N12,29,IF(B10=N13,30,0)))))))))))</f>
        <v>0</v>
      </c>
      <c r="D65" s="156">
        <f>IF(B10=N3,"3",IF(B10=N4,"4",IF(B10=N5,"2",IF(B10=N6,"5",IF(B10=N7,6,IF(B10=N8,9,IF(B10=N9,12,IF(B10=N10,16,IF(B10=N11,23,IF(B10=N12,24,IF(B10=N13,25,0)))))))))))</f>
        <v>0</v>
      </c>
      <c r="E65" s="157">
        <f>IF(B10=N3,"Max de répétitions",IF(B10=N4,"Max de répétitions",IF(B10=N5,"Max de répétitions et minimum 4",IF(B10=N6,"Max de répétitions et minimum 6",IF(B10=N7,"Max de répétitions et minimum 9",IF(B10=N8,"Max de répétitions et minimum 12",IF(B10=N9,"Max de répétitions et minimum 16",IF(B10=N10,"Max de répétitions et minimum 20",IF(B10=N11,"Max de répétitions et minimum 25",IF(B10=N12,"Max de répétitions et minimum 29",IF(B10=N13,"Max de répétitions et minimum 29",0)))))))))))</f>
        <v>0</v>
      </c>
      <c r="F65" s="224" t="s">
        <v>131</v>
      </c>
      <c r="G65" s="224" t="s">
        <v>131</v>
      </c>
      <c r="H65" s="165"/>
    </row>
    <row r="66" spans="1:8" ht="15.75" thickBot="1" x14ac:dyDescent="0.3">
      <c r="A66" s="125" t="s">
        <v>147</v>
      </c>
      <c r="B66" s="152">
        <f>IF(B11=M3,"4",IF(B11=M4,"8",IF(B11=M5,"11",IF(B11=M6,"16",IF(B11=M7,20,IF(B11=M8,13,IF(B11=M9,18,IF(B11=M10,20,IF(B11=M11,20,IF(B11=M12,22,IF(B11=M13,26,IF(B11=M14,28,0))))))))))))</f>
        <v>0</v>
      </c>
      <c r="C66" s="153">
        <f>IF(B11=M3,"5",IF(B11=M4,"10",IF(B11=M5,"13",IF(B11=M6,"21",IF(B11=M7,27,IF(B11=M8,13,IF(B11=M9,20,IF(B11=M10,24,IF(B11=M11,27,IF(B11=M12,30,IF(B11=M13,33,IF(B11=M14,35,0))))))))))))</f>
        <v>0</v>
      </c>
      <c r="D66" s="153">
        <f>IF(B11=M3,"4",IF(B11=M4,"7",IF(B11=M5,"9",IF(B11=M6,"15",IF(B11=M7,18,IF(B11=M8,15,IF(B11=M9,17,IF(B11=M10,20,IF(B11=M11,21,IF(B11=M12,22,IF(B11=M13,23,IF(B11=M14,25,0))))))))))))</f>
        <v>0</v>
      </c>
      <c r="E66" s="154">
        <f>IF(B11=M3,"Max de répétitions et minimum 5",IF(B11=M4,"Max de répétitions et minimum 10",IF(B11=M5,"Max de répétitions et minimum 13",IF(B11=M6,"Max de répétitions et minimum 21",IF(B11=M7,"Max de répétitions et minimum 25",IF(B11=M8,"Max de répétitions et minimum 30",IF(B11=M9,"Max de répétitions et minimum 35",IF(B11=M10,"Max de répétitions et minimum 40",IF(B11=M11,"Max de répétitions et minimum 44",IF(B11=M12,"Max de répétitions et minimum 55",IF(B11=M13,"Max de répétitions et minimum 60",IF(B11=M14,"Max de répétitions et minimum 60",0))))))))))))</f>
        <v>0</v>
      </c>
      <c r="F66" s="229"/>
      <c r="G66" s="229"/>
      <c r="H66" s="159"/>
    </row>
    <row r="67" spans="1:8" x14ac:dyDescent="0.25">
      <c r="A67" s="126" t="s">
        <v>157</v>
      </c>
      <c r="B67" s="155">
        <f>IF(B12=N3,"4",IF(B12=N4,"6",IF(B12=N5,"3",IF(B12=N6,"5",IF(B12=N7,7,IF(B12=N8,9,IF(B12=N9,13,IF(B12=N10,17,IF(B12=N11,23,IF(B12=N12,25,IF(B12=N13,25,0)))))))))))</f>
        <v>0</v>
      </c>
      <c r="C67" s="156">
        <f>IF(B12=N3,"4",IF(B12=N4,"5",IF(B12=N5,"4",IF(B12=N6,"7",IF(B12=N7,10,IF(B12=N8,13,IF(B12=N9,16,IF(B12=N10,21,IF(B12=N11,26,IF(B12=N12,29,IF(B12=N13,30,0)))))))))))</f>
        <v>0</v>
      </c>
      <c r="D67" s="157">
        <f>IF(B12=N3,"Max de répétitions",IF(B12=N4,"Max de répétitions",IF(B12=N5,"Max de répétitions et minimum 4",IF(B12=N6,"Max de répétitions et minimum 6",IF(B12=N7,"Max de répétitions et minimum 9",IF(B12=N8,"Max de répétitions et minimum 12",IF(B12=N9,"Max de répétitions et minimum 16",IF(B12=N10,"Max de répétitions et minimum 20",IF(B12=N11,"Max de répétitions et minimum 25",IF(B12=N12,"Max de répétitions et minimum 29",IF(B12=N13,"Max de répétitions et minimum 29",0)))))))))))</f>
        <v>0</v>
      </c>
      <c r="E67" s="158"/>
      <c r="F67" s="224" t="s">
        <v>131</v>
      </c>
      <c r="G67" s="115"/>
      <c r="H67" s="163"/>
    </row>
    <row r="68" spans="1:8" x14ac:dyDescent="0.25">
      <c r="A68" s="105" t="s">
        <v>164</v>
      </c>
      <c r="B68" s="149">
        <f>IF(B13=N3,"4",IF(B13=N4,"6",IF(B13=N5,"3",IF(B13=N6,"5",IF(B13=N7,7,IF(B13=N8,9,IF(B13=N9,13,IF(B13=N10,17,IF(B13=N11,23,IF(B13=N12,25,IF(B13=N13,25,0)))))))))))</f>
        <v>0</v>
      </c>
      <c r="C68" s="150">
        <f>IF(B13=N3,"4",IF(B13=N4,"5",IF(B13=N5,"4",IF(B13=N6,"7",IF(B13=N7,10,IF(B13=N8,13,IF(B13=N9,16,IF(B13=N10,21,IF(B13=N11,26,IF(B13=N12,29,IF(B13=N13,30,0)))))))))))</f>
        <v>0</v>
      </c>
      <c r="D68" s="151">
        <f>IF(B13=N3,"Max de répétitions",IF(B13=N4,"Max de répétitions",IF(B13=N5,"Max de répétitions et minimum 4",IF(B13=N6,"Max de répétitions et minimum 6",IF(B13=N7,"Max de répétitions et minimum 9",IF(B13=N8,"Max de répétitions et minimum 12",IF(B13=N9,"Max de répétitions et minimum 16",IF(B13=N10,"Max de répétitions et minimum 20",IF(B13=N11,"Max de répétitions et minimum 25",IF(B13=N12,"Max de répétitions et minimum 29",IF(B13=N13,"Max de répétitions et minimum 29",0)))))))))))</f>
        <v>0</v>
      </c>
      <c r="E68" s="112"/>
      <c r="F68" s="225"/>
      <c r="G68" s="115"/>
      <c r="H68" s="68"/>
    </row>
    <row r="69" spans="1:8" ht="15.75" thickBot="1" x14ac:dyDescent="0.3">
      <c r="A69" s="88" t="s">
        <v>150</v>
      </c>
      <c r="B69" s="226" t="s">
        <v>324</v>
      </c>
      <c r="C69" s="227"/>
      <c r="D69" s="227"/>
      <c r="E69" s="227"/>
      <c r="F69" s="1"/>
      <c r="G69" s="1"/>
      <c r="H69" s="147" t="s">
        <v>325</v>
      </c>
    </row>
    <row r="70" spans="1:8" x14ac:dyDescent="0.25">
      <c r="A70" s="60" t="s">
        <v>2</v>
      </c>
      <c r="B70" s="64" t="s">
        <v>3</v>
      </c>
      <c r="C70" s="64" t="s">
        <v>4</v>
      </c>
      <c r="D70" s="64" t="s">
        <v>5</v>
      </c>
      <c r="E70" s="64" t="s">
        <v>6</v>
      </c>
      <c r="F70" s="64" t="s">
        <v>124</v>
      </c>
      <c r="G70" s="64" t="s">
        <v>125</v>
      </c>
      <c r="H70" s="64" t="s">
        <v>123</v>
      </c>
    </row>
    <row r="71" spans="1:8" x14ac:dyDescent="0.25">
      <c r="A71" s="105" t="s">
        <v>302</v>
      </c>
      <c r="B71" s="149">
        <f>IF(B15=O3,"8",IF(B15=O4,"12",IF(B15=O5,"18",IF(B15=O6,"22",IF(B15=O7,28,IF(B15=O8,34,IF(B15=O9,40,IF(B15=O10,46,IF(B15=O11,52,IF(B15=O12,58,IF(B15=O13,50,IF(B15=O14,54,IF(B15=O15,60,IF(B15=O16,64,0))))))))))))))</f>
        <v>0</v>
      </c>
      <c r="C71" s="150">
        <f>IF(B15=O3,"6",IF(B15=O4,"10",IF(B15=O5,"18",IF(B15=O6,"24",IF(B15=O7,26,IF(B15=O8,32,IF(B15=O9,38,IF(B15=O10,46,IF(B15=O11,52,IF(B15=O12,54,IF(B15=O13,50,IF(B15=O14,52,IF(B15=O15,60,IF(B15=O16,64,0))))))))))))))</f>
        <v>0</v>
      </c>
      <c r="D71" s="151">
        <f>IF(B15=O3,"7",IF(B15=O4,"11",IF(B15=O5,"16",IF(B15=O6,"22",IF(B15=O7,26,IF(B15=O8,33,IF(B15=O9,39,IF(B15=O10,45,IF(B15=O11,50,IF(B15=O12,54,IF(B15=O13,42,IF(B15=O14,53,IF(B15=O15,55,IF(B15=O16,64,0))))))))))))))</f>
        <v>0</v>
      </c>
      <c r="E71" s="68">
        <f>IF(B15=O3,"Max de répétitions et minimum 8",IF(B15=O4,"Max de répétitions et minimum 12",IF(B15=O5,"Max de répétitions et minimum 18",IF(B15=O6,"Max de répétitions et minimum 24",IF(B15=O7,"Max de répétitions et minimum 30",IF(B15=O8,"Max de répétitions et minimum 36",IF(B15=O9,"Max de répétitions et minimum 42",IF(B15=O10,"Max de répétitions et minimum 46",IF(B15=O11,"Max de répétitions et minimum 52",IF(B15=O12,"Max de répétitions et minimum 60",IF(B15=O13,"Max de répétitions et minimum 50",IF(B15=O14,"Max de répétitions et minimum 56",IF(B15=O15,"Max de répétitions et minimum 62",IF(B15=O16,"Max de répétitions et minimum 64",0))))))))))))))</f>
        <v>0</v>
      </c>
      <c r="F71" s="228" t="s">
        <v>130</v>
      </c>
      <c r="G71" s="228" t="s">
        <v>127</v>
      </c>
      <c r="H71" s="68"/>
    </row>
    <row r="72" spans="1:8" ht="15.75" thickBot="1" x14ac:dyDescent="0.3">
      <c r="A72" s="129" t="s">
        <v>304</v>
      </c>
      <c r="B72" s="152">
        <f>IF(B16=N3,"4",IF(B16=N4,"6",IF(B16=N5,"3",IF(B16=N6,"5",IF(B16=N7,7,IF(B16=N8,9,IF(B16=N9,13,IF(B16=N10,17,IF(B16=N11,23,IF(B16=N12,25,IF(B16=N13,25,0)))))))))))</f>
        <v>0</v>
      </c>
      <c r="C72" s="153">
        <f>IF(B16=N3,"4",IF(B16=N4,"5",IF(B16=N5,"4",IF(B16=N6,"7",IF(B16=N7,10,IF(B16=N8,13,IF(B16=N9,16,IF(B16=N10,21,IF(B16=N11,26,IF(B16=N12,29,IF(B16=N13,30,0)))))))))))</f>
        <v>0</v>
      </c>
      <c r="D72" s="154">
        <f>IF(B16=N3,"3",IF(B16=N4,"4",IF(B16=N5,"2",IF(B16=N6,"5",IF(B16=N7,6,IF(B16=N8,9,IF(B16=N9,12,IF(B16=N10,16,IF(B16=N11,23,IF(B16=N12,24,IF(B16=N13,25,0)))))))))))</f>
        <v>0</v>
      </c>
      <c r="E72" s="159">
        <f>IF(B16=N3,"Max de répétitions",IF(B16=N4,"Max de répétitions",IF(B16=N5,"Max de répétitions et minimum 4",IF(B16=N6,"Max de répétitions et minimum 6",IF(B16=N7,"Max de répétitions et minimum 9",IF(B16=N8,"Max de répétitions et minimum 12",IF(B16=N9,"Max de répétitions et minimum 16",IF(B16=N10,"Max de répétitions et minimum 20",IF(B16=N11,"Max de répétitions et minimum 25",IF(B16=N12,"Max de répétitions et minimum 29",IF(B16=N13,"Max de répétitions et minimum 29",0)))))))))))</f>
        <v>0</v>
      </c>
      <c r="F72" s="229"/>
      <c r="G72" s="229"/>
      <c r="H72" s="159"/>
    </row>
    <row r="73" spans="1:8" ht="15.75" thickBot="1" x14ac:dyDescent="0.3">
      <c r="A73" s="105" t="s">
        <v>174</v>
      </c>
      <c r="B73" s="160">
        <f>IF(B17=N3,"4",IF(B17=N4,"6",IF(B17=N5,"3",IF(B17=N6,"5",IF(B17=N7,7,IF(B17=N8,9,IF(B17=N9,13,IF(B17=N10,17,IF(B17=N11,23,IF(B17=N12,25,IF(B17=N13,25,0)))))))))))</f>
        <v>0</v>
      </c>
      <c r="C73" s="161">
        <f>IF(B17=N3,"4",IF(B17=N4,"5",IF(B17=N5,"4",IF(B17=N6,"7",IF(B17=N7,10,IF(B17=N8,13,IF(B17=N9,16,IF(B17=N10,21,IF(B17=N11,26,IF(B17=N12,29,IF(B17=N13,30,0)))))))))))</f>
        <v>0</v>
      </c>
      <c r="D73" s="162">
        <f>IF(B17=N3,"3",IF(B17=N4,"4",IF(B17=N5,"2",IF(B17=N6,"5",IF(B17=N7,6,IF(B17=N8,9,IF(B17=N9,12,IF(B17=N10,16,IF(B17=N11,23,IF(B17=N12,24,IF(B17=N13,25,0)))))))))))</f>
        <v>0</v>
      </c>
      <c r="E73" s="163">
        <f>IF(B17=N3,"Max de répétitions",IF(B17=N4,"Max de répétitions",IF(B17=N5,"Max de répétitions et minimum 4",IF(B17=N6,"Max de répétitions et minimum 6",IF(B17=N7,"Max de répétitions et minimum 9",IF(B17=N8,"Max de répétitions et minimum 12",IF(B17=N9,"Max de répétitions et minimum 16",IF(B17=N10,"Max de répétitions et minimum 20",IF(B17=N11,"Max de répétitions et minimum 25",IF(B17=N12,"Max de répétitions et minimum 29",IF(B17=N13,"Max de répétitions et minimum 29",0)))))))))))</f>
        <v>0</v>
      </c>
      <c r="F73" s="224" t="s">
        <v>173</v>
      </c>
      <c r="G73" s="224" t="s">
        <v>131</v>
      </c>
      <c r="H73" s="76" t="s">
        <v>137</v>
      </c>
    </row>
    <row r="74" spans="1:8" ht="15.75" thickBot="1" x14ac:dyDescent="0.3">
      <c r="A74" s="124" t="s">
        <v>305</v>
      </c>
      <c r="B74" s="152">
        <f>IF(B18=M3,"4",IF(B18=M4,"8",IF(B18=M5,"11",IF(B18=M6,"16",IF(B18=M7,20,IF(B18=M8,13,IF(B18=M9,18,IF(B18=M10,20,IF(B18=M11,20,IF(B18=M12,22,IF(B18=M13,26,IF(B18=M14,28,0))))))))))))</f>
        <v>0</v>
      </c>
      <c r="C74" s="153">
        <f>IF(B18=M3,"5",IF(B18=M4,"10",IF(B18=M5,"13",IF(B18=M6,"21",IF(B18=M7,27,IF(B18=M8,13,IF(B18=M9,20,IF(B18=M10,24,IF(B18=M11,27,IF(B18=M12,30,IF(B18=M13,33,IF(B18=M14,35,0))))))))))))</f>
        <v>0</v>
      </c>
      <c r="D74" s="154">
        <f>IF(B18=M3,"4",IF(B18=M4,"7",IF(B18=M5,"9",IF(B18=M6,"15",IF(B18=M7,18,IF(B18=M8,15,IF(B18=M9,17,IF(B18=M10,20,IF(B18=M11,21,IF(B18=M12,22,IF(B18=M13,23,IF(B18=M14,25,0))))))))))))</f>
        <v>0</v>
      </c>
      <c r="E74" s="159">
        <f>IF(B18=M3,"Max de répétitions et minimum 5",IF(B18=M4,"Max de répétitions et minimum 10",IF(B18=M5,"Max de répétitions et minimum 13",IF(B18=M6,"Max de répétitions et minimum 21",IF(B18=M7,"Max de répétitions et minimum 25",IF(B18=M8,"Max de répétitions et minimum 30",IF(B18=M9,"Max de répétitions et minimum 35",IF(B18=M10,"Max de répétitions et minimum 40",IF(B18=M11,"Max de répétitions et minimum 44",IF(B18=M12,"Max de répétitions et minimum 55",IF(B18=M13,"Max de répétitions et minimum 60",IF(B18=M14,"Max de répétitions et minimum 60",0))))))))))))</f>
        <v>0</v>
      </c>
      <c r="F74" s="229"/>
      <c r="G74" s="229"/>
      <c r="H74" s="159"/>
    </row>
    <row r="75" spans="1:8" x14ac:dyDescent="0.25">
      <c r="A75" s="105" t="s">
        <v>327</v>
      </c>
      <c r="B75" s="160">
        <f>IF(B19=N3,"4",IF(B19=N4,"6",IF(B19=N5,"3",IF(B19=N6,"5",IF(B19=N7,7,IF(B19=N8,9,IF(B19=N9,13,IF(B19=N10,17,IF(B19=N11,23,IF(B19=N12,25,IF(B19=N13,25,0)))))))))))</f>
        <v>0</v>
      </c>
      <c r="C75" s="161">
        <f>IF(B19=N3,"4",IF(B19=N4,"5",IF(B19=N5,"4",IF(B19=N6,"7",IF(B19=N7,10,IF(B19=N8,13,IF(B19=N9,16,IF(B19=N10,21,IF(B19=N11,26,IF(B19=N12,29,IF(B19=N13,30,0)))))))))))</f>
        <v>0</v>
      </c>
      <c r="D75" s="162">
        <f>IF(B19=N3,"Max de répétitions",IF(B19=N4,"Max de répétitions",IF(B19=N5,"Max de répétitions et minimum 4",IF(B19=N6,"Max de répétitions et minimum 6",IF(B19=N7,"Max de répétitions et minimum 9",IF(B19=N8,"Max de répétitions et minimum 12",IF(B19=N9,"Max de répétitions et minimum 16",IF(B19=N10,"Max de répétitions et minimum 20",IF(B19=N11,"Max de répétitions et minimum 25",IF(B19=N12,"Max de répétitions et minimum 29",IF(B19=N13,"Max de répétitions et minimum 29",0)))))))))))</f>
        <v>0</v>
      </c>
      <c r="E75" s="158"/>
      <c r="F75" s="224" t="s">
        <v>131</v>
      </c>
      <c r="G75" s="115"/>
      <c r="H75" s="163"/>
    </row>
    <row r="76" spans="1:8" x14ac:dyDescent="0.25">
      <c r="A76" s="105" t="s">
        <v>161</v>
      </c>
      <c r="B76" s="149">
        <f>IF(B20=N3,"4",IF(B20=N4,"6",IF(B20=N5,"3",IF(B20=N6,"5",IF(B20=N7,7,IF(B20=N8,9,IF(B20=N9,13,IF(B20=N10,17,IF(B20=N11,23,IF(B20=N12,25,IF(B20=N13,25,0)))))))))))</f>
        <v>0</v>
      </c>
      <c r="C76" s="150">
        <f>IF(B20=N3,"4",IF(B20=N4,"5",IF(B20=N5,"4",IF(B20=N6,"7",IF(B20=N7,10,IF(B20=N8,13,IF(B20=N9,16,IF(B20=N10,21,IF(B20=N11,26,IF(B20=N12,29,IF(B20=N13,30,0)))))))))))</f>
        <v>0</v>
      </c>
      <c r="D76" s="151">
        <f>IF(B20=N3,"Max de répétitions",IF(B20=N4,"Max de répétitions",IF(B20=N5,"Max de répétitions et minimum 4",IF(B20=N6,"Max de répétitions et minimum 6",IF(B20=N7,"Max de répétitions et minimum 9",IF(B20=N8,"Max de répétitions et minimum 12",IF(B20=N9,"Max de répétitions et minimum 16",IF(B20=N10,"Max de répétitions et minimum 20",IF(B20=N11,"Max de répétitions et minimum 25",IF(B20=N12,"Max de répétitions et minimum 29",IF(B20=N13,"Max de répétitions et minimum 29",0)))))))))))</f>
        <v>0</v>
      </c>
      <c r="E76" s="112"/>
      <c r="F76" s="225"/>
      <c r="G76" s="115"/>
      <c r="H76" s="68"/>
    </row>
    <row r="77" spans="1:8" ht="15.75" thickBot="1" x14ac:dyDescent="0.3">
      <c r="A77" s="214" t="s">
        <v>152</v>
      </c>
      <c r="B77" s="215"/>
      <c r="C77" s="215"/>
      <c r="D77" s="215"/>
      <c r="E77" s="215"/>
      <c r="F77" s="215"/>
      <c r="G77" s="215"/>
      <c r="H77" s="215"/>
    </row>
    <row r="78" spans="1:8" x14ac:dyDescent="0.25">
      <c r="A78" s="72" t="s">
        <v>153</v>
      </c>
      <c r="B78" s="226" t="s">
        <v>324</v>
      </c>
      <c r="C78" s="227"/>
      <c r="D78" s="227"/>
      <c r="E78" s="227"/>
      <c r="F78" s="1"/>
      <c r="G78" s="1"/>
      <c r="H78" s="147" t="s">
        <v>325</v>
      </c>
    </row>
    <row r="79" spans="1:8" ht="15.75" thickBot="1" x14ac:dyDescent="0.3">
      <c r="A79" s="73" t="s">
        <v>2</v>
      </c>
      <c r="B79" s="74" t="s">
        <v>3</v>
      </c>
      <c r="C79" s="74" t="s">
        <v>4</v>
      </c>
      <c r="D79" s="74" t="s">
        <v>5</v>
      </c>
      <c r="E79" s="74" t="s">
        <v>6</v>
      </c>
      <c r="F79" s="74" t="s">
        <v>124</v>
      </c>
      <c r="G79" s="74" t="s">
        <v>125</v>
      </c>
      <c r="H79" s="74" t="s">
        <v>123</v>
      </c>
    </row>
    <row r="80" spans="1:8" ht="15.75" thickBot="1" x14ac:dyDescent="0.3">
      <c r="A80" s="130" t="s">
        <v>148</v>
      </c>
      <c r="B80" s="149">
        <f>IF(B9=N3,"5",IF(B9=N4,"6",IF(B9=N5,"3",IF(B9=N6,"5",IF(B9=N7,7,IF(B9=N8,10,IF(B9=N9,14,IF(B9=N10,17,IF(B9=N11,24,IF(B9=N12,26,IF(B9=N13,26,0)))))))))))</f>
        <v>0</v>
      </c>
      <c r="C80" s="150">
        <f>IF(B9=N3,"8",IF(B9=N4,"11",IF(B9=N5,"4",IF(B9=N6,"8",IF(B9=N7,10,IF(B9=N8,14,IF(B9=N9,19,IF(B9=N10,22,IF(B9=N11,27,IF(B9=N12,30,IF(B9=N13,31,0)))))))))))</f>
        <v>0</v>
      </c>
      <c r="D80" s="150">
        <f>IF(B9=N3,"7",IF(B9=N4,"8",IF(B9=N5,"3",IF(B9=N6,"5",IF(B9=N7,7,IF(B9=N8,10,IF(B9=N9,13,IF(B9=N10,17,IF(B9=N11,24,IF(B9=N12,25,IF(B9=N13,25,0)))))))))))</f>
        <v>0</v>
      </c>
      <c r="E80" s="151">
        <f>IF(B9=N3,"7",IF(B9=N4,"8",IF(B9=N5,"Max de répétitions et minimum 4",IF(B9=N6,"Max de répétitions et minimum 8",IF(B9=N7,"Max de répétitions et minimum 10",IF(B9=N8,"Max de répétitions et minimum 13",IF(B9=N9,"Max de répétitions et minimum 19",IF(B9=N10,"Max de répétitions et minimum 22",IF(B9=N11,"Max de répétitions et minimum 26",IF(B9=N12,"Max de répétitions et minimum 30",IF(B9=N13,"Max de répétitions et minimum 31",0)))))))))))</f>
        <v>0</v>
      </c>
      <c r="F80" s="228" t="s">
        <v>128</v>
      </c>
      <c r="G80" s="228" t="s">
        <v>127</v>
      </c>
      <c r="H80" s="166" t="str">
        <f>IF(OR(B9=N3,B9=N4),"Toutes les répétitions en excentrique : voir vidéo","")</f>
        <v/>
      </c>
    </row>
    <row r="81" spans="1:8" ht="15.75" thickBot="1" x14ac:dyDescent="0.3">
      <c r="A81" s="131" t="s">
        <v>155</v>
      </c>
      <c r="B81" s="152">
        <f>IF(B8=N3,"5",IF(B8=N4,"6",IF(B8=N5,"3",IF(B8=N6,"5",IF(B8=N7,7,IF(B8=N8,10,IF(B8=N9,14,IF(B8=N10,17,IF(B8=N11,24,IF(B8=N12,26,IF(B8=N13,26,0)))))))))))</f>
        <v>0</v>
      </c>
      <c r="C81" s="153">
        <f>IF(B8=N3,"8",IF(B8=N4,"11",IF(B8=N5,"4",IF(B8=N6,"8",IF(B8=N7,10,IF(B8=N8,14,IF(B8=N9,19,IF(B8=N10,22,IF(B8=N11,27,IF(B8=N12,30,IF(B8=N13,31,0)))))))))))</f>
        <v>0</v>
      </c>
      <c r="D81" s="153">
        <f>IF(B8=N3,"7",IF(B8=N4,"8",IF(B8=N5,"3",IF(B8=N6,"5",IF(B8=N7,7,IF(B8=N8,10,IF(B8=N9,13,IF(B8=N10,17,IF(B8=N11,24,IF(B8=N12,25,IF(B8=N13,25,0)))))))))))</f>
        <v>0</v>
      </c>
      <c r="E81" s="154">
        <f>IF(B8=N3,"7",IF(B8=N4,"8",IF(B8=N5,"Max de répétitions et minimum 4",IF(B8=N6,"Max de répétitions et minimum 8",IF(B8=N7,"Max de répétitions et minimum 10",IF(B8=N8,"Max de répétitions et minimum 13",IF(B8=N9,"Max de répétitions et minimum 19",IF(B8=N10,"Max de répétitions et minimum 22",IF(B8=N11,"Max de répétitions et minimum 26",IF(B8=N12,"Max de répétitions et minimum 30",IF(B8=N13,"Max de répétitions et minimum 31",0)))))))))))</f>
        <v>0</v>
      </c>
      <c r="F81" s="229"/>
      <c r="G81" s="229"/>
      <c r="H81" s="76" t="str">
        <f>IF(OR(B8=N3,B8=N4),"Toutes les répétitions en excentrique","")</f>
        <v/>
      </c>
    </row>
    <row r="82" spans="1:8" x14ac:dyDescent="0.25">
      <c r="A82" s="132" t="s">
        <v>147</v>
      </c>
      <c r="B82" s="155">
        <f>IF(B11=M3,"5",IF(B11=M4,"9",IF(B11=M5,"12",IF(B11=M6,"18",IF(B11=M7,21,IF(B11=M8, "voir note",IF(B11=M9,"voir note",IF(B11=M10,"voir note",IF(B11=M11,"voir note",IF(B11=M12,"voir note",IF(B11=M13,"voir note",IF(B11=M14,"voir note",0))))))))))))</f>
        <v>0</v>
      </c>
      <c r="C82" s="156">
        <f>IF(B11=M3,"6",IF(B11=M4,"11",IF(B11=M5,"14",IF(B11=M6,"22",IF(B11=M7,25,IF(B11=M8,"voir note",IF(B11=M9,"voir note",IF(B11=M10,"voir note",IF(B11=M11,"voir note",IF(B11=M12,"voir note",IF(B11=M13,"voir note",IF(B11=M14,"voir note",0))))))))))))</f>
        <v>0</v>
      </c>
      <c r="D82" s="156">
        <f>IF(B11=M3,"4",IF(B11=M4,"8",IF(B11=M5,"10",IF(B11=M6,"16",IF(B11=M7,21,IF(B11=M8,"voir note",IF(B11=M9,"voir note",IF(B11=M10,"voir note",IF(B11=M11,"voir note",IF(B11=M12,"voir note",IF(B11=M13,"voir note",IF(B11=M14,"voir note",0))))))))))))</f>
        <v>0</v>
      </c>
      <c r="E82" s="157">
        <f>IF(B11=M3,"Max de répétitions et minimum 6",IF(B11=M4,"Max de répétitions et minimum 11",IF(B11=M5,"Max de répétitions et minimum 15",IF(B11=M6,"Max de répétitions et minimum 21",IF(B11=M7,"Max de répétitions et minimum 27",IF(B11=M8,"voir note",IF(B11=M9,"voir note",IF(B11=M10,"voir note",IF(B11=M11,"voir note",IF(B11=M12,"voir note",IF(B11=M13,"voir note",IF(B11=M14,"voir note",0))))))))))))</f>
        <v>0</v>
      </c>
      <c r="F82" s="224" t="s">
        <v>131</v>
      </c>
      <c r="G82" s="224" t="s">
        <v>131</v>
      </c>
      <c r="H82" s="167" t="str">
        <f>IF(B11&gt;M7,"Refaire le test : 1 x max et mettre à jour l'onglet résultat du test","")</f>
        <v/>
      </c>
    </row>
    <row r="83" spans="1:8" ht="15.75" thickBot="1" x14ac:dyDescent="0.3">
      <c r="A83" s="123" t="s">
        <v>328</v>
      </c>
      <c r="B83" s="152">
        <f>IF(B10=N3,"5",IF(B10=N4,"6",IF(B10=N5,"3",IF(B10=N6,"5",IF(B10=N7,7,IF(B10=N8,10,IF(B10=N9,14,IF(B10=N10,17,IF(B10=N11,24,IF(B10=N12,26,IF(B10=N13,26,0)))))))))))</f>
        <v>0</v>
      </c>
      <c r="C83" s="153">
        <f>IF(B10=N3,"4",IF(B10=N4,"6",IF(B10=N5,"4",IF(B10=N6,"8",IF(B10=N7,10,IF(B10=N8,14,IF(B10=N9,19,IF(B10=N10,22,IF(B10=N11,27,IF(B10=N12,30,IF(B10=N13,31,0)))))))))))</f>
        <v>0</v>
      </c>
      <c r="D83" s="153">
        <f>IF(B10=N3,"4",IF(B10=N4,"4",IF(B10=N5,"3",IF(B10=N6,"5",IF(B10=N7,7,IF(B10=N8,10,IF(B10=N9,13,IF(B10=N10,17,IF(B10=N11,24,IF(B10=N12,25,IF(B10=N13,25,0)))))))))))</f>
        <v>0</v>
      </c>
      <c r="E83" s="154">
        <f>IF(B10=N3,"Max de répétitions",IF(B10=N4,"Max de répétitions",IF(B10=N5,"Max de répétitions et minimum 4",IF(B10=N6,"Max de répétitions et minimum 8",IF(B10=N7,"Max de répétitions et minimum 10",IF(B10=N8,"Max de répétitions et minimum 13",IF(B10=N9,"Max de répétitions et minimum 19",IF(B10=N10,"Max de répétitions et minimum 22",IF(B10=N11,"Max de répétitions et minimum 26",IF(B10=N12,"Max de répétitions et minimum 30",IF(B10=N13,"Max de répétitions et minimum 31",0)))))))))))</f>
        <v>0</v>
      </c>
      <c r="F83" s="229"/>
      <c r="G83" s="229"/>
      <c r="H83" s="68"/>
    </row>
    <row r="84" spans="1:8" x14ac:dyDescent="0.25">
      <c r="A84" s="126" t="s">
        <v>164</v>
      </c>
      <c r="B84" s="155">
        <f>IF(B13=N3,"5",IF(B13=N4,"6",IF(B13=N5,"3",IF(B13=N6,"5",IF(B13=N7,7,IF(B13=N8,10,IF(B13=N9,14,IF(B13=N10,17,IF(B13=N11,24,IF(B13=N12,26,IF(B13=N13,26,0)))))))))))</f>
        <v>0</v>
      </c>
      <c r="C84" s="156">
        <f>IF(B13=N3,"4",IF(B13=N4,"6",IF(B13=N5,"4",IF(B13=N6,"8",IF(B13=N7,10,IF(B13=N8,14,IF(B13=N9,19,IF(B13=N10,22,IF(B13=N11,27,IF(B13=N12,30,IF(B13=N13,31,0)))))))))))</f>
        <v>0</v>
      </c>
      <c r="D84" s="157">
        <f>IF(B13=N3,"Max de répétitions",IF(B13=N4,"Max de répétitions",IF(B13=N5,"Max de répétitions et minimum 4",IF(B13=N6,"Max de répétitions et minimum 8",IF(B13=N7,"Max de répétitions et minimum 10",IF(B13=N8,"Max de répétitions et minimum 13",IF(B13=N9,"Max de répétitions et minimum 19",IF(B13=N10,"Max de répétitions et minimum 22",IF(B13=N11,"Max de répétitions et minimum 26",IF(B13=N12,"Max de répétitions et minimum 30",IF(B13=N13,"Max de répétitions et minimum 31",0)))))))))))</f>
        <v>0</v>
      </c>
      <c r="E84" s="158"/>
      <c r="F84" s="224" t="s">
        <v>131</v>
      </c>
      <c r="G84" s="115"/>
      <c r="H84" s="68"/>
    </row>
    <row r="85" spans="1:8" x14ac:dyDescent="0.25">
      <c r="A85" s="126" t="s">
        <v>157</v>
      </c>
      <c r="B85" s="149">
        <f>IF(B12=N3,"5",IF(B12=N4,"6",IF(B12=N5,"3",IF(B12=N6,"5",IF(B12=N7,7,IF(B12=N8,10,IF(B12=N9,14,IF(B12=N10,17,IF(B12=N11,24,IF(B12=N12,26,IF(B12=N13,26,0)))))))))))</f>
        <v>0</v>
      </c>
      <c r="C85" s="150">
        <f>IF(B12=N3,"4",IF(B12=N4,"6",IF(B12=N5,"4",IF(B12=N6,"8",IF(B12=N7,10,IF(B12=N8,14,IF(B12=N9,19,IF(B12=N10,22,IF(B12=N11,27,IF(B12=N12,30,IF(B12=N13,31,0)))))))))))</f>
        <v>0</v>
      </c>
      <c r="D85" s="151">
        <f>IF(B12=N3,"Max de répétitions",IF(B12=N4,"Max de répétitions",IF(B12=N5,"Max de répétitions et minimum 4",IF(B12=N6,"Max de répétitions et minimum 8",IF(B12=N7,"Max de répétitions et minimum 10",IF(B12=N8,"Max de répétitions et minimum 13",IF(B12=N9,"Max de répétitions et minimum 19",IF(B12=N10,"Max de répétitions et minimum 22",IF(B12=N11,"Max de répétitions et minimum 26",IF(B12=N12,"Max de répétitions et minimum 30",IF(B12=N13,"Max de répétitions et minimum 31",0)))))))))))</f>
        <v>0</v>
      </c>
      <c r="E85" s="112"/>
      <c r="F85" s="225"/>
      <c r="G85" s="115"/>
      <c r="H85" s="68"/>
    </row>
    <row r="86" spans="1:8" x14ac:dyDescent="0.25">
      <c r="A86" s="95" t="s">
        <v>156</v>
      </c>
      <c r="B86" s="230" t="s">
        <v>324</v>
      </c>
      <c r="C86" s="231"/>
      <c r="D86" s="231"/>
      <c r="E86" s="231"/>
      <c r="F86" s="1"/>
      <c r="G86" s="1"/>
      <c r="H86" s="147" t="s">
        <v>325</v>
      </c>
    </row>
    <row r="87" spans="1:8" x14ac:dyDescent="0.25">
      <c r="A87" s="73" t="s">
        <v>2</v>
      </c>
      <c r="B87" s="74" t="s">
        <v>3</v>
      </c>
      <c r="C87" s="74" t="s">
        <v>4</v>
      </c>
      <c r="D87" s="74" t="s">
        <v>5</v>
      </c>
      <c r="E87" s="74" t="s">
        <v>6</v>
      </c>
      <c r="F87" s="74" t="s">
        <v>124</v>
      </c>
      <c r="G87" s="74" t="s">
        <v>125</v>
      </c>
      <c r="H87" s="74" t="s">
        <v>123</v>
      </c>
    </row>
    <row r="88" spans="1:8" x14ac:dyDescent="0.25">
      <c r="A88" s="105" t="s">
        <v>302</v>
      </c>
      <c r="B88" s="149">
        <f>IF(B15=O3,"8",IF(B15=O4,"12",IF(B15=O5,"20",IF(B15=O6,"24",IF(B15=O7,28,IF(B15=O8,34,IF(B15=O9,40,IF(B15=O10,46,IF(B15=O11,52,IF(B15=O12,58,IF(B15=O13,52,IF(B15=O14,56,IF(B15=O15,60,IF(B15=O16,64,0))))))))))))))</f>
        <v>0</v>
      </c>
      <c r="C88" s="150">
        <f>IF(B15=O3,"8",IF(B15=O4,"12",IF(B15=O5,"20",IF(B15=O6,"24",IF(B15=O7,28,IF(B15=O8,34,IF(B15=O9,40,IF(B15=O10,46,IF(B15=O11,52,IF(B15=O12,58,IF(B15=O13,52,IF(B15=O14,56,IF(B15=O15,60,IF(B15=O16,64,0))))))))))))))</f>
        <v>0</v>
      </c>
      <c r="D88" s="151">
        <f>IF(B15=O3,"8",IF(B15=O4,"12",IF(B15=O5,"18",IF(B15=O6,"24",IF(B15=O7,28,IF(B15=O8,34,IF(B15=O9,42,IF(B15=O10,46,IF(B15=O11,52,IF(B15=O12,54,IF(B15=O13,44,IF(B15=O14,52,IF(B15=O15,58,IF(B15=O16,64,0))))))))))))))</f>
        <v>0</v>
      </c>
      <c r="E88" s="68">
        <f>IF(B15=O3,"Max de répétitions et minimum 8",IF(B15=O4,"Max de répétitions et minimum 12",IF(B15=O5,"Max de répétitions et minimum 22",IF(B15=O6,"Max de répétitions et minimum 26",IF(B15=O7,"Max de répétitions et minimum 30",IF(B15=O8,"Max de répétitions et minimum 36",IF(B15=O9,"Max de répétitions et minimum 40",IF(B15=O10,"Max de répétitions et minimum 48",IF(B15=O11,"Max de répétitions et minimum 54",IF(B15=O12,"Max de répétitions et minimum 60",IF(B15=O13,"Max de répétitions et minimum 52",IF(B15=O14,"Max de répétitions et minimum 58",IF(B15=O15,"Max de répétitions et minimum 62",IF(B15=O16,"Max de répétitions et minimum 66",0))))))))))))))</f>
        <v>0</v>
      </c>
      <c r="F88" s="228" t="s">
        <v>130</v>
      </c>
      <c r="G88" s="228" t="s">
        <v>127</v>
      </c>
      <c r="H88" s="68"/>
    </row>
    <row r="89" spans="1:8" ht="15.75" thickBot="1" x14ac:dyDescent="0.3">
      <c r="A89" s="129" t="s">
        <v>304</v>
      </c>
      <c r="B89" s="152">
        <f>IF(B16=N3,"5",IF(B16=N4,"6",IF(B16=N5,"3",IF(B16=N6,"5",IF(B16=N7,7,IF(B16=N8,10,IF(B16=N9,14,IF(B16=N10,17,IF(B16=N11,24,IF(B16=N12,26,IF(B16=N13,26,0)))))))))))</f>
        <v>0</v>
      </c>
      <c r="C89" s="153">
        <f>IF(B16=N3,"4",IF(B16=N4,"6",IF(B16=N5,"4",IF(B16=N6,"8",IF(B16=N7,10,IF(B16=N8,14,IF(B16=N9,19,IF(B16=N10,22,IF(B16=N11,27,IF(B16=N12,30,IF(B16=N13,31,0)))))))))))</f>
        <v>0</v>
      </c>
      <c r="D89" s="154">
        <f>IF(B16=N3,"4",IF(B16=N4,"4",IF(B16=N5,"3",IF(B16=N6,"5",IF(B16=N7,7,IF(B16=N8,10,IF(B16=N9,13,IF(B16=N10,17,IF(B16=N11,24,IF(B16=N12,25,IF(B16=N13,25,0)))))))))))</f>
        <v>0</v>
      </c>
      <c r="E89" s="159">
        <f>IF(B16=N3,"Max de répétitions",IF(B16=N4,"Max de répétitions",IF(B16=N5,"Max de répétitions et minimum 4",IF(B16=N6,"Max de répétitions et minimum 8",IF(B16=N7,"Max de répétitions et minimum 10",IF(B16=N8,"Max de répétitions et minimum 13",IF(B16=N9,"Max de répétitions et minimum 19",IF(B16=N10,"Max de répétitions et minimum 22",IF(B16=N11,"Max de répétitions et minimum 26",IF(B16=N12,"Max de répétitions et minimum 30",IF(B16=N13,"Max de répétitions et minimum 31",0)))))))))))</f>
        <v>0</v>
      </c>
      <c r="F89" s="229"/>
      <c r="G89" s="229"/>
      <c r="H89" s="159"/>
    </row>
    <row r="90" spans="1:8" ht="15.75" thickBot="1" x14ac:dyDescent="0.3">
      <c r="A90" s="105" t="s">
        <v>174</v>
      </c>
      <c r="B90" s="160">
        <f>IF(B17=N3,"5",IF(B17=N4,"6",IF(B17=N5,"3",IF(B17=N6,"5",IF(B17=N7,7,IF(B17=N8,10,IF(B17=N9,14,IF(B17=N10,17,IF(B17=N11,24,IF(B17=N12,26,IF(B17=N13,26,0)))))))))))</f>
        <v>0</v>
      </c>
      <c r="C90" s="161">
        <f>IF(B17=N3,"4",IF(B17=N4,"6",IF(B17=N5,"4",IF(B17=N6,"8",IF(B17=N7,10,IF(B17=N8,14,IF(B17=N9,19,IF(B17=N10,22,IF(B17=N11,27,IF(B17=N12,30,IF(B17=N13,31,0)))))))))))</f>
        <v>0</v>
      </c>
      <c r="D90" s="162">
        <f>IF(B17=N3,"4",IF(B17=N4,"4",IF(B17=N5,"3",IF(B17=N6,"5",IF(B17=N7,7,IF(B17=N8,10,IF(B17=N9,13,IF(B17=N10,17,IF(B17=N11,24,IF(B17=N12,25,IF(B17=N13,25,0)))))))))))</f>
        <v>0</v>
      </c>
      <c r="E90" s="163">
        <f>IF(B17=N3,"Max de répétitions",IF(B17=N4,"Max de répétitions",IF(B17=N5,"Max de répétitions et minimum 4",IF(B17=N6,"Max de répétitions et minimum 8",IF(B17=N7,"Max de répétitions et minimum 10",IF(B17=N8,"Max de répétitions et minimum 13",IF(B17=N9,"Max de répétitions et minimum 19",IF(B17=N10,"Max de répétitions et minimum 22",IF(B17=N11,"Max de répétitions et minimum 26",IF(B17=N12,"Max de répétitions et minimum 30",IF(B17=N13,"Max de répétitions et minimum 31",0)))))))))))</f>
        <v>0</v>
      </c>
      <c r="F90" s="224" t="s">
        <v>173</v>
      </c>
      <c r="G90" s="224" t="s">
        <v>131</v>
      </c>
      <c r="H90" s="76" t="s">
        <v>137</v>
      </c>
    </row>
    <row r="91" spans="1:8" ht="15.75" thickBot="1" x14ac:dyDescent="0.3">
      <c r="A91" s="124" t="s">
        <v>305</v>
      </c>
      <c r="B91" s="152">
        <f>IF(B18=M3,"5",IF(B18=M4,"9",IF(B18=M5,"12",IF(B18=M6,"18",IF(B18=M7,21,IF(B18=M8, "voir note",IF(B18=M9,"voir note",IF(B18=M10,"voir note",IF(B18=M11,"voir note",IF(B18=M12,"voir note",IF(B18=M13,"voir note",IF(B18=M14,"voir note",0))))))))))))</f>
        <v>0</v>
      </c>
      <c r="C91" s="153">
        <f>IF(B18=M3,"6",IF(B18=M4,"11",IF(B18=M5,"14",IF(B18=M6,"22",IF(B18=M7,25,IF(B18=M8,"voir note",IF(B18=M9,"voir note",IF(B18=M10,"voir note",IF(B18=M11,"voir note",IF(B18=M12,"voir note",IF(B18=M13,"voir note",IF(B18=M14,"voir note",0))))))))))))</f>
        <v>0</v>
      </c>
      <c r="D91" s="154">
        <f>IF(B18=M3,"4",IF(B18=M4,"8",IF(B18=M5,"10",IF(B18=M6,"16",IF(B18=M7,21,IF(B18=M8,"voir note",IF(B18=M9,"voir note",IF(B18=M10,"voir note",IF(B18=M11,"voir note",IF(B18=M12,"voir note",IF(B18=M13,"voir note",IF(B18=M14,"voir note",0))))))))))))</f>
        <v>0</v>
      </c>
      <c r="E91" s="159">
        <f>IF(B18=M3,"Max de répétitions et minimum 6",IF(B18=M4,"Max de répétitions et minimum 11",IF(B18=M5,"Max de répétitions et minimum 15",IF(B18=M6,"Max de répétitions et minimum 21",IF(B18=M7,"Max de répétitions et minimum 27",IF(B18=M8,"voir note",IF(B18=M9,"voir note",IF(B18=M10,"voir note",IF(B18=M11,"voir note",IF(B18=M12,"voir note",IF(B18=M13,"voir note",IF(B18=M14,"voir note",0))))))))))))</f>
        <v>0</v>
      </c>
      <c r="F91" s="229"/>
      <c r="G91" s="229"/>
      <c r="H91" s="168" t="str">
        <f>IF(B18&gt;M7,"Refaire le test : 1 x max et mettre à jour l'onglet résultat du test","")</f>
        <v/>
      </c>
    </row>
    <row r="92" spans="1:8" x14ac:dyDescent="0.25">
      <c r="A92" s="105" t="s">
        <v>327</v>
      </c>
      <c r="B92" s="160">
        <f>IF(B19=N3,"5",IF(B19=N4,"6",IF(B19=N5,"3",IF(B19=N6,"5",IF(B19=N7,7,IF(B19=N8,10,IF(B19=N9,14,IF(B19=N10,17,IF(B19=N11,24,IF(B19=N12,26,IF(B19=N13,26,0)))))))))))</f>
        <v>0</v>
      </c>
      <c r="C92" s="161">
        <f>IF(B19=N3,"4",IF(B19=N4,"6",IF(B19=N5,"4",IF(B19=N6,"8",IF(B19=N7,10,IF(B19=N8,14,IF(B19=N9,19,IF(B19=N10,22,IF(B19=N11,27,IF(B19=N12,30,IF(B19=N13,31,0)))))))))))</f>
        <v>0</v>
      </c>
      <c r="D92" s="162">
        <f>IF(B19=N3,"Max de répétitions",IF(B19=N4,"Max de répétitions",IF(B19=N5,"Max de répétitions et minimum 4",IF(B19=N6,"Max de répétitions et minimum 8",IF(B19=N7,"Max de répétitions et minimum 10",IF(B19=N8,"Max de répétitions et minimum 13",IF(B19=N9,"Max de répétitions et minimum 19",IF(B19=N10,"Max de répétitions et minimum 22",IF(B19=N11,"Max de répétitions et minimum 26",IF(B19=N12,"Max de répétitions et minimum 30",IF(B19=N13,"Max de répétitions et minimum 31",0)))))))))))</f>
        <v>0</v>
      </c>
      <c r="E92" s="158"/>
      <c r="F92" s="224" t="s">
        <v>131</v>
      </c>
      <c r="G92" s="115"/>
      <c r="H92" s="163"/>
    </row>
    <row r="93" spans="1:8" x14ac:dyDescent="0.25">
      <c r="A93" s="105" t="s">
        <v>161</v>
      </c>
      <c r="B93" s="149">
        <f>IF(B20=N3,"5",IF(B20=N4,"6",IF(B20=N5,"3",IF(B20=N6,"5",IF(B20=N7,7,IF(B20=N8,10,IF(B20=N9,14,IF(B20=N10,17,IF(B20=N11,24,IF(B20=N12,26,IF(B20=N13,26,0)))))))))))</f>
        <v>0</v>
      </c>
      <c r="C93" s="150">
        <f>IF(B20=N3,"4",IF(B20=N4,"6",IF(B20=N5,"4",IF(B20=N6,"8",IF(B20=N7,10,IF(B20=N8,14,IF(B20=N9,19,IF(B20=N10,22,IF(B20=N11,27,IF(B20=N12,30,IF(B20=N13,31,0)))))))))))</f>
        <v>0</v>
      </c>
      <c r="D93" s="151">
        <f>IF(B20=N3,"Max de répétitions",IF(B20=N4,"Max de répétitions",IF(B20=N5,"Max de répétitions et minimum 4",IF(B20=N6,"Max de répétitions et minimum 8",IF(B20=N7,"Max de répétitions et minimum 10",IF(B20=N8,"Max de répétitions et minimum 13",IF(B20=N9,"Max de répétitions et minimum 19",IF(B20=N10,"Max de répétitions et minimum 22",IF(B20=N11,"Max de répétitions et minimum 26",IF(B20=N12,"Max de répétitions et minimum 30",IF(B20=N13,"Max de répétitions et minimum 31",0)))))))))))</f>
        <v>0</v>
      </c>
      <c r="E93" s="112"/>
      <c r="F93" s="225"/>
      <c r="G93" s="115"/>
      <c r="H93" s="68"/>
    </row>
    <row r="94" spans="1:8" x14ac:dyDescent="0.25">
      <c r="A94" s="214" t="s">
        <v>139</v>
      </c>
      <c r="B94" s="215"/>
      <c r="C94" s="215"/>
      <c r="D94" s="215"/>
      <c r="E94" s="215"/>
      <c r="F94" s="215"/>
      <c r="G94" s="215"/>
      <c r="H94" s="215"/>
    </row>
    <row r="95" spans="1:8" x14ac:dyDescent="0.25">
      <c r="A95" s="214" t="s">
        <v>140</v>
      </c>
      <c r="B95" s="215"/>
      <c r="C95" s="215"/>
      <c r="D95" s="215"/>
      <c r="E95" s="215"/>
      <c r="F95" s="215"/>
      <c r="G95" s="215"/>
      <c r="H95" s="215"/>
    </row>
    <row r="96" spans="1:8" ht="15.75" thickBot="1" x14ac:dyDescent="0.3">
      <c r="A96" s="213" t="s">
        <v>167</v>
      </c>
      <c r="B96" s="213"/>
      <c r="C96" s="213"/>
      <c r="D96" s="213"/>
      <c r="E96" s="213"/>
      <c r="F96" s="213"/>
      <c r="G96" s="213"/>
      <c r="H96" s="213"/>
    </row>
    <row r="97" spans="1:8" x14ac:dyDescent="0.25">
      <c r="A97" s="72" t="s">
        <v>151</v>
      </c>
      <c r="B97" s="226" t="s">
        <v>324</v>
      </c>
      <c r="C97" s="227"/>
      <c r="D97" s="227"/>
      <c r="E97" s="227"/>
      <c r="F97" s="1"/>
      <c r="G97" s="1"/>
      <c r="H97" s="147" t="s">
        <v>325</v>
      </c>
    </row>
    <row r="98" spans="1:8" ht="15.75" thickBot="1" x14ac:dyDescent="0.3">
      <c r="A98" s="73" t="s">
        <v>2</v>
      </c>
      <c r="B98" s="74" t="s">
        <v>3</v>
      </c>
      <c r="C98" s="74" t="s">
        <v>4</v>
      </c>
      <c r="D98" s="74" t="s">
        <v>5</v>
      </c>
      <c r="E98" s="74" t="s">
        <v>6</v>
      </c>
      <c r="F98" s="74" t="s">
        <v>124</v>
      </c>
      <c r="G98" s="74" t="s">
        <v>125</v>
      </c>
      <c r="H98" s="74" t="s">
        <v>123</v>
      </c>
    </row>
    <row r="99" spans="1:8" ht="15.75" thickBot="1" x14ac:dyDescent="0.3">
      <c r="A99" s="104" t="s">
        <v>155</v>
      </c>
      <c r="B99" s="149">
        <f>IF(B8=N3,"5",IF(B8=N4,"7",IF(B8=N5,"3",IF(B8=N6,"6",IF(B8=N7,8,IF(B8=N8,11,IF(B8=N9,14,IF(B8=N10,18,IF(B8=N11,25,IF(B8=N12,26,IF(B8=N13,26,0)))))))))))</f>
        <v>0</v>
      </c>
      <c r="C99" s="150">
        <f>IF(B8=N3,"10",IF(B8=N4,"12",IF(B8=N5,"4",IF(B8=N6,"9",IF(B8=N7,11,IF(B8=N8,15,IF(B8=N9,20,IF(B8=N10,25,IF(B8=N11,29,IF(B8=N12,31,IF(B8=N13,32,0)))))))))))</f>
        <v>0</v>
      </c>
      <c r="D99" s="150">
        <f>IF(B8=N3,"8",IF(B8=N4,"10",IF(B8=N5,"3",IF(B8=N6,"6",IF(B8=N7,8,IF(B8=N8,11,IF(B8=N9,14,IF(B8=N10,18,IF(B8=N11,25,IF(B8=N12,26,IF(B8=N13,26,0)))))))))))</f>
        <v>0</v>
      </c>
      <c r="E99" s="151">
        <f>IF(B8=N3,"8",IF(B8=N4,"10",IF(B8=N5,"Max de répétitions et minimum 5",IF(B8=N6,"Max de répétitions et minimum 8",IF(B8=N7,"Max de répétitions et minimum 10",IF(B8=N8,"Max de répétitions et minimum 13",IF(B8=N9,"Max de répétitions et minimum 20",IF(B8=N10,"Max de répétitions et minimum 22",IF(B8=N11,"Max de répétitions et minimum 27",IF(B8=N12,"Max de répétitions et minimum 31",IF(B8=N13,"Max de répétitions et minimum 31",0)))))))))))</f>
        <v>0</v>
      </c>
      <c r="F99" s="228" t="s">
        <v>128</v>
      </c>
      <c r="G99" s="228" t="s">
        <v>127</v>
      </c>
      <c r="H99" s="76" t="str">
        <f>IF(OR(B8=N3,B8=N4),"Toutes les répétitions en excentrique","")</f>
        <v/>
      </c>
    </row>
    <row r="100" spans="1:8" ht="15.75" thickBot="1" x14ac:dyDescent="0.3">
      <c r="A100" s="124" t="s">
        <v>148</v>
      </c>
      <c r="B100" s="152">
        <f>IF(B9=N3,"5",IF(B9=N4,"7",IF(B9=N5,"3",IF(B9=N6,"6",IF(B9=N7,8,IF(B9=N8,11,IF(B9=N9,14,IF(B9=N10,18,IF(B9=N11,25,IF(B9=N12,26,IF(B9=N13,26,0)))))))))))</f>
        <v>0</v>
      </c>
      <c r="C100" s="153">
        <f>IF(B9=N3,"10",IF(B9=N4,"12",IF(B9=N5,"4",IF(B9=N6,"9",IF(B9=N7,11,IF(B9=N8,15,IF(B9=N9,20,IF(B9=N10,25,IF(B9=N11,29,IF(B9=N12,31,IF(B9=N13,32,0)))))))))))</f>
        <v>0</v>
      </c>
      <c r="D100" s="153">
        <f>IF(B9=N3,"8",IF(B9=N4,"10",IF(B9=N5,"3",IF(B9=N6,"6",IF(B9=N7,8,IF(B9=N8,11,IF(B9=N9,14,IF(B9=N10,18,IF(B9=N11,25,IF(B9=N12,26,IF(B9=N13,26,0)))))))))))</f>
        <v>0</v>
      </c>
      <c r="E100" s="154">
        <f>IF(B9=N3,"8",IF(B9=N4,"10",IF(B9=N5,"Max de répétitions et minimum 5",IF(B9=N6,"Max de répétitions et minimum 8",IF(B9=N7,"Max de répétitions et minimum 10",IF(B9=N8,"Max de répétitions et minimum 13",IF(B9=N9,"Max de répétitions et minimum 20",IF(B9=N10,"Max de répétitions et minimum 22",IF(B9=N11,"Max de répétitions et minimum 27",IF(B9=N12,"Max de répétitions et minimum 31",IF(B9=N13,"Max de répétitions et minimum 31",0)))))))))))</f>
        <v>0</v>
      </c>
      <c r="F100" s="229"/>
      <c r="G100" s="229"/>
      <c r="H100" s="164" t="str">
        <f>IF(OR(B9=N3,B9=N4),"Toutes les répétitions en excentrique : voir vidéo","")</f>
        <v/>
      </c>
    </row>
    <row r="101" spans="1:8" x14ac:dyDescent="0.25">
      <c r="A101" s="105" t="s">
        <v>328</v>
      </c>
      <c r="B101" s="155">
        <f>IF(B10=N3,"5",IF(B10=N4,"7",IF(B10=N5,"3",IF(B10=N6,"6",IF(B10=N7,8,IF(B10=N8,11,IF(B10=N9,14,IF(B10=N10,18,IF(B10=N11,25,IF(B10=N12,26,IF(B10=N13,26,0)))))))))))</f>
        <v>0</v>
      </c>
      <c r="C101" s="156">
        <f>IF(B10=N3,"5",IF(B10=N4,"6",IF(B10=N5,"4",IF(B10=N6,"9",IF(B10=N7,11,IF(B10=N8,15,IF(B10=N9,20,IF(B10=N10,25,IF(B10=N11,29,IF(B10=N12,31,IF(B10=N13,32,0)))))))))))</f>
        <v>0</v>
      </c>
      <c r="D101" s="156">
        <f>IF(B10=N3,"4",IF(B10=N4,"5",IF(B10=N5,"3",IF(B10=N6,"6",IF(B10=N7,8,IF(B10=N8,11,IF(B10=N9,14,IF(B10=N10,18,IF(B10=N11,25,IF(B10=N12,26,IF(B10=N13,26,0)))))))))))</f>
        <v>0</v>
      </c>
      <c r="E101" s="157">
        <f>IF(B10=N3,"Max de répétitions",IF(B10=N4,"Max de répétitions",IF(B10=N5,"Max de répétitions et minimum 5",IF(B10=N6,"Max de répétitions et minimum 8",IF(B10=N7,"Max de répétitions et minimum 10",IF(B10=N8,"Max de répétitions et minimum 13",IF(B10=N9,"Max de répétitions et minimum 20",IF(B10=N10,"Max de répétitions et minimum 22",IF(B10=N11,"Max de répétitions et minimum 27",IF(B10=N12,"Max de répétitions et minimum 31",IF(B10=N13,"Max de répétitions et minimum 31",0)))))))))))</f>
        <v>0</v>
      </c>
      <c r="F101" s="224" t="s">
        <v>131</v>
      </c>
      <c r="G101" s="224" t="s">
        <v>131</v>
      </c>
      <c r="H101" s="165"/>
    </row>
    <row r="102" spans="1:8" ht="15.75" thickBot="1" x14ac:dyDescent="0.3">
      <c r="A102" s="125" t="s">
        <v>147</v>
      </c>
      <c r="B102" s="152">
        <f>IF(B11=M3,"5",IF(B11=M4,"10",IF(B11=M5,"13",IF(B11=M6,"20",IF(B11=M7,25,IF(B11=M8,17,IF(B11=M9,22,IF(B11=M10,27,IF(B11=M11,30,IF(B11=M12,30,IF(B11=M13,30,IF(B11=M14,35,0))))))))))))</f>
        <v>0</v>
      </c>
      <c r="C102" s="153">
        <f>IF(B11=M3,"6",IF(B11=M4,"12",IF(B11=M5,"15",IF(B11=M6,"25",IF(B11=M7,29,IF(B11=M8,19,IF(B11=M9,24,IF(B11=M10,29,IF(B11=M11,34,IF(B11=M12,39,IF(B11=M13,44,IF(B11=M14,49,0))))))))))))</f>
        <v>0</v>
      </c>
      <c r="D102" s="153">
        <f>IF(B11=M3,"4",IF(B11=M4,"9",IF(B11=M5,"11",IF(B11=M6,"20",IF(B11=M7,25,IF(B11=M8,15,IF(B11=M9,20,IF(B11=M10,25,IF(B11=M11,30,IF(B11=M12,35,IF(B11=M13,40,IF(B11=M14,45,0))))))))))))</f>
        <v>0</v>
      </c>
      <c r="E102" s="154">
        <f>IF(B11=M3,"Max de répétitions et minimum 7",IF(B11=M4,"Max de répétitions et minimum 13",IF(B11=M5,"Max de répétitions et minimum 17",IF(B11=M6,"Max de répétitions et minimum 23",IF(B11=M7,"Max de répétitions et minimum 30",IF(B11=M8,"Max de répétitions et minimum 20",IF(B11=M9,"Max de répétitions et minimum 25",IF(B11=M10,"Max de répétitions et minimum 35",IF(B11=M11,"Max de répétitions et minimum 40",IF(B11=M12,"Max de répétitions et minimum 42",IF(B11=M13,"Max de répétitions et minimum 55",IF(B11=M14,"Max de répétitions et minimum 55",0))))))))))))</f>
        <v>0</v>
      </c>
      <c r="F102" s="229"/>
      <c r="G102" s="229"/>
      <c r="H102" s="159"/>
    </row>
    <row r="103" spans="1:8" x14ac:dyDescent="0.25">
      <c r="A103" s="126" t="s">
        <v>157</v>
      </c>
      <c r="B103" s="155">
        <f>IF(B12=N3,"5",IF(B12=N4,"7",IF(B12=N5,"3",IF(B12=N6,"6",IF(B12=N7,8,IF(B12=N8,11,IF(B12=N9,14,IF(B12=N10,18,IF(B12=N11,25,IF(B12=N12,26,IF(B12=N13,26,0)))))))))))</f>
        <v>0</v>
      </c>
      <c r="C103" s="156">
        <f>IF(B12=N3,"5",IF(B12=N4,"6",IF(B12=N5,"4",IF(B12=N6,"9",IF(B12=N7,11,IF(B12=N8,15,IF(B12=N9,20,IF(B12=N10,25,IF(B12=N11,29,IF(B12=N12,31,IF(B12=N13,32,0)))))))))))</f>
        <v>0</v>
      </c>
      <c r="D103" s="157">
        <f>IF(B12=N3,"Max de répétitions",IF(B12=N4,"Max de répétitions",IF(B12=N5,"Max de répétitions et minimum 5",IF(B12=N6,"Max de répétitions et minimum 8",IF(B12=N7,"Max de répétitions et minimum 10",IF(B12=N8,"Max de répétitions et minimum 13",IF(B12=N9,"Max de répétitions et minimum 20",IF(B12=N10,"Max de répétitions et minimum 22",IF(B12=N11,"Max de répétitions et minimum 27",IF(B12=N12,"Max de répétitions et minimum 31",IF(B12=N13,"Max de répétitions et minimum 31",0)))))))))))</f>
        <v>0</v>
      </c>
      <c r="E103" s="158"/>
      <c r="F103" s="224" t="s">
        <v>131</v>
      </c>
      <c r="G103" s="115"/>
      <c r="H103" s="163"/>
    </row>
    <row r="104" spans="1:8" x14ac:dyDescent="0.25">
      <c r="A104" s="105" t="s">
        <v>164</v>
      </c>
      <c r="B104" s="149">
        <f>IF(B13=N3,"5",IF(B13=N4,"7",IF(B13=N5,"3",IF(B13=N6,"6",IF(B13=N7,8,IF(B13=N8,11,IF(B13=N9,14,IF(B13=N10,18,IF(B13=N11,25,IF(B13=N12,26,IF(B13=N13,26,0)))))))))))</f>
        <v>0</v>
      </c>
      <c r="C104" s="150">
        <f>IF(B13=N3,"5",IF(B13=N4,"6",IF(B13=N5,"4",IF(B13=N6,"9",IF(B13=N7,11,IF(B13=N8,15,IF(B13=N9,20,IF(B13=N10,25,IF(B13=N11,29,IF(B13=N12,31,IF(B13=N13,32,0)))))))))))</f>
        <v>0</v>
      </c>
      <c r="D104" s="151">
        <f>IF(B13=N3,"Max de répétitions",IF(B13=N4,"Max de répétitions",IF(B13=N5,"Max de répétitions et minimum 5",IF(B13=N6,"Max de répétitions et minimum 8",IF(B13=N7,"Max de répétitions et minimum 10",IF(B13=N8,"Max de répétitions et minimum 13",IF(B13=N9,"Max de répétitions et minimum 20",IF(B13=N10,"Max de répétitions et minimum 22",IF(B13=N11,"Max de répétitions et minimum 27",IF(B13=N12,"Max de répétitions et minimum 31",IF(B13=N13,"Max de répétitions et minimum 31",0)))))))))))</f>
        <v>0</v>
      </c>
      <c r="E104" s="112"/>
      <c r="F104" s="225"/>
      <c r="G104" s="115"/>
      <c r="H104" s="68"/>
    </row>
    <row r="105" spans="1:8" ht="15.75" thickBot="1" x14ac:dyDescent="0.3">
      <c r="A105" s="88" t="s">
        <v>150</v>
      </c>
      <c r="B105" s="226" t="s">
        <v>324</v>
      </c>
      <c r="C105" s="227"/>
      <c r="D105" s="227"/>
      <c r="E105" s="227"/>
      <c r="F105" s="1"/>
      <c r="G105" s="1"/>
      <c r="H105" s="147" t="s">
        <v>325</v>
      </c>
    </row>
    <row r="106" spans="1:8" x14ac:dyDescent="0.25">
      <c r="A106" s="60" t="s">
        <v>2</v>
      </c>
      <c r="B106" s="64" t="s">
        <v>3</v>
      </c>
      <c r="C106" s="64" t="s">
        <v>4</v>
      </c>
      <c r="D106" s="64" t="s">
        <v>5</v>
      </c>
      <c r="E106" s="64" t="s">
        <v>6</v>
      </c>
      <c r="F106" s="64" t="s">
        <v>124</v>
      </c>
      <c r="G106" s="64" t="s">
        <v>125</v>
      </c>
      <c r="H106" s="64" t="s">
        <v>123</v>
      </c>
    </row>
    <row r="107" spans="1:8" x14ac:dyDescent="0.25">
      <c r="A107" s="105" t="s">
        <v>302</v>
      </c>
      <c r="B107" s="149">
        <f>IF(B15=O3,"8",IF(B15=O4,"12",IF(B15=O5,"22",IF(B15=O6,"24",IF(B15=O7,28,IF(B15=O8,36,IF(B15=O9,40,IF(B15=O10,46,IF(B15=O11,54,IF(B15=O12,58,IF(B15=O13,44,IF(B15=O14,58,IF(B15=O15,60,IF(B15=O16,64,0))))))))))))))</f>
        <v>0</v>
      </c>
      <c r="C107" s="150">
        <f>IF(B15=O3,"8",IF(B15=O4,"12",IF(B15=O5,"22",IF(B15=O6,"24",IF(B15=O7,28,IF(B15=O8,36,IF(B15=O9,40,IF(B15=O10,46,IF(B15=O11,52,IF(B15=O12,58,IF(B15=O13,44,IF(B15=O14,58,IF(B15=O15,60,IF(B15=O16,64,0))))))))))))))</f>
        <v>0</v>
      </c>
      <c r="D107" s="151">
        <f>IF(B15=O3,"6",IF(B15=O4,"14",IF(B15=O5,"18",IF(B15=O6,"24",IF(B15=O7,30,IF(B15=O8,34,IF(B15=O9,42,IF(B15=O10,46,IF(B15=O11,52,IF(B15=O12,56,IF(B15=O13,52,IF(B15=O14,52,IF(B15=O15,58,IF(B15=O16,64,0))))))))))))))</f>
        <v>0</v>
      </c>
      <c r="E107" s="68">
        <f>IF(B15=O3,"Max de répétitions et minimum 10",IF(B15=O4,"Max de répétitions et minimum 16",IF(B15=O5,"Max de répétitions et minimum 22",IF(B15=O6,"Max de répétitions et minimum 26",IF(B15=O7,"Max de répétitions et minimum 30",IF(B15=O8,"Max de répétitions et minimum 36",IF(B15=O9,"Max de répétitions et minimum 40",IF(B15=O10,"Max de répétitions et minimum 48",IF(B15=O11,"Max de répétitions et minimum 56",IF(B15=O12,"Max de répétitions et minimum 60",IF(B15=O13,"Max de répétitions et minimum 54",IF(B15=O14,"Max de répétitions et minimum 58",IF(B15=O15,"Max de répétitions et minimum 62",IF(B15=O16,"Max de répétitions et minimum 66",0))))))))))))))</f>
        <v>0</v>
      </c>
      <c r="F107" s="228" t="s">
        <v>130</v>
      </c>
      <c r="G107" s="228" t="s">
        <v>127</v>
      </c>
      <c r="H107" s="68"/>
    </row>
    <row r="108" spans="1:8" ht="15.75" thickBot="1" x14ac:dyDescent="0.3">
      <c r="A108" s="129" t="s">
        <v>304</v>
      </c>
      <c r="B108" s="152">
        <f>IF(B16=N3,"5",IF(B16=N4,"7",IF(B16=N5,"3",IF(B16=N6,"6",IF(B16=N7,8,IF(B16=N8,11,IF(B16=N9,14,IF(B16=N10,18,IF(B16=N11,25,IF(B16=N12,26,IF(B16=N13,26,0)))))))))))</f>
        <v>0</v>
      </c>
      <c r="C108" s="153">
        <f>IF(B16=N3,"5",IF(B16=N4,"6",IF(B16=N5,"4",IF(B16=N6,"9",IF(B16=N7,11,IF(B16=N8,15,IF(B16=N9,20,IF(B16=N10,25,IF(B16=N11,29,IF(B16=N12,31,IF(B16=N13,32,0)))))))))))</f>
        <v>0</v>
      </c>
      <c r="D108" s="154">
        <f>IF(B16=N3,"4",IF(B16=N4,"5",IF(B16=N5,"3",IF(B16=N6,"6",IF(B16=N7,8,IF(B16=N8,11,IF(B16=N9,14,IF(B16=N10,18,IF(B16=N11,25,IF(B16=N12,26,IF(B16=N13,26,0)))))))))))</f>
        <v>0</v>
      </c>
      <c r="E108" s="159">
        <f>IF(B16=N3,"Max de répétitions",IF(B16=N4,"Max de répétitions",IF(B16=N5,"Max de répétitions et minimum 5",IF(B16=N6,"Max de répétitions et minimum 8",IF(B16=N7,"Max de répétitions et minimum 10",IF(B16=N8,"Max de répétitions et minimum 13",IF(B16=N9,"Max de répétitions et minimum 20",IF(B16=N10,"Max de répétitions et minimum 22",IF(B16=N11,"Max de répétitions et minimum 27",IF(B16=N12,"Max de répétitions et minimum 31",IF(B16=N13,"Max de répétitions et minimum 31",0)))))))))))</f>
        <v>0</v>
      </c>
      <c r="F108" s="229"/>
      <c r="G108" s="229"/>
      <c r="H108" s="159"/>
    </row>
    <row r="109" spans="1:8" ht="15.75" thickBot="1" x14ac:dyDescent="0.3">
      <c r="A109" s="105" t="s">
        <v>174</v>
      </c>
      <c r="B109" s="160">
        <f>IF(B17=N3,"5",IF(B17=N4,"7",IF(B17=N5,"3",IF(B17=N6,"6",IF(B17=N7,8,IF(B17=N8,11,IF(B17=N9,14,IF(B17=N10,18,IF(B17=N11,25,IF(B17=N12,26,IF(B17=N13,26,0)))))))))))</f>
        <v>0</v>
      </c>
      <c r="C109" s="161">
        <f>IF(B17=N3,"5",IF(B17=N4,"6",IF(B17=N5,"4",IF(B17=N6,"9",IF(B17=N7,11,IF(B17=N8,15,IF(B17=N9,20,IF(B17=N10,25,IF(B17=N11,29,IF(B17=N12,31,IF(B17=N13,32,0)))))))))))</f>
        <v>0</v>
      </c>
      <c r="D109" s="162">
        <f>IF(B17=N3,"4",IF(B17=N4,"5",IF(B17=N5,"3",IF(B17=N6,"6",IF(B17=N7,8,IF(B17=N8,11,IF(B17=N9,14,IF(B17=N10,18,IF(B17=N11,25,IF(B17=N12,26,IF(B17=N13,26,0)))))))))))</f>
        <v>0</v>
      </c>
      <c r="E109" s="163">
        <f>IF(B17=N3,"Max de répétitions",IF(B17=N4,"Max de répétitions",IF(B17=N5,"Max de répétitions et minimum 5",IF(B17=N6,"Max de répétitions et minimum 8",IF(B17=N7,"Max de répétitions et minimum 10",IF(B17=N8,"Max de répétitions et minimum 13",IF(B17=N9,"Max de répétitions et minimum 20",IF(B17=N10,"Max de répétitions et minimum 22",IF(B17=N11,"Max de répétitions et minimum 27",IF(B17=N12,"Max de répétitions et minimum 31",IF(B17=N13,"Max de répétitions et minimum 31",0)))))))))))</f>
        <v>0</v>
      </c>
      <c r="F109" s="224" t="s">
        <v>173</v>
      </c>
      <c r="G109" s="224" t="s">
        <v>131</v>
      </c>
      <c r="H109" s="76" t="s">
        <v>137</v>
      </c>
    </row>
    <row r="110" spans="1:8" ht="15.75" thickBot="1" x14ac:dyDescent="0.3">
      <c r="A110" s="124" t="s">
        <v>305</v>
      </c>
      <c r="B110" s="152">
        <f>IF(B18=M3,"5",IF(B18=M4,"10",IF(B18=M5,"13",IF(B18=M6,"20",IF(B18=M7,25,IF(B18=M8,17,IF(B18=M9,22,IF(B18=M10,27,IF(B18=M11,30,IF(B18=M12,30,IF(B18=M13,30,IF(B18=M14,35,0))))))))))))</f>
        <v>0</v>
      </c>
      <c r="C110" s="153">
        <f>IF(B18=M3,"6",IF(B18=M4,"12",IF(B18=M5,"15",IF(B18=M6,"25",IF(B18=M7,29,IF(B18=M8,19,IF(B18=M9,24,IF(B18=M10,29,IF(B18=M11,34,IF(B18=M12,39,IF(B18=M13,44,IF(B18=M14,49,0))))))))))))</f>
        <v>0</v>
      </c>
      <c r="D110" s="154">
        <f>IF(B18=M3,"4",IF(B18=M4,"9",IF(B18=M5,"11",IF(B18=M6,"20",IF(B18=M7,25,IF(B18=M8,15,IF(B18=M9,20,IF(B18=M10,25,IF(B18=M11,30,IF(B18=M12,35,IF(B18=M13,40,IF(B18=M14,45,0))))))))))))</f>
        <v>0</v>
      </c>
      <c r="E110" s="159">
        <f>IF(B18=M3,"Max de répétitions et minimum 7",IF(B18=M4,"Max de répétitions et minimum 13",IF(B18=M5,"Max de répétitions et minimum 17",IF(B18=M6,"Max de répétitions et minimum 23",IF(B18=M7,"Max de répétitions et minimum 30",IF(B18=M8,"Max de répétitions et minimum 20",IF(B18=M9,"Max de répétitions et minimum 25",IF(B18=M10,"Max de répétitions et minimum 35",IF(B18=M11,"Max de répétitions et minimum 40",IF(B18=M12,"Max de répétitions et minimum 42",IF(B18=M13,"Max de répétitions et minimum 55",IF(B18=M14,"Max de répétitions et minimum 55",0))))))))))))</f>
        <v>0</v>
      </c>
      <c r="F110" s="229"/>
      <c r="G110" s="229"/>
      <c r="H110" s="159"/>
    </row>
    <row r="111" spans="1:8" x14ac:dyDescent="0.25">
      <c r="A111" s="105" t="s">
        <v>327</v>
      </c>
      <c r="B111" s="160">
        <f>IF(B19=N3,"5",IF(B19=N4,"7",IF(B19=N5,"3",IF(B19=N6,"6",IF(B19=N7,8,IF(B19=N8,11,IF(B19=N9,14,IF(B19=N10,18,IF(B19=N11,25,IF(B19=N12,26,IF(B19=N13,26,0)))))))))))</f>
        <v>0</v>
      </c>
      <c r="C111" s="161">
        <f>IF(B19=N3,"5",IF(B19=N4,"6",IF(B19=N5,"4",IF(B19=N6,"9",IF(B19=N7,11,IF(B19=N8,15,IF(B19=N9,20,IF(B19=N10,25,IF(B19=N11,29,IF(B19=N12,31,IF(B19=N13,32,0)))))))))))</f>
        <v>0</v>
      </c>
      <c r="D111" s="162">
        <f>IF(B19=N3,"Max de répétitions",IF(B19=N4,"Max de répétitions",IF(B19=N5,"Max de répétitions et minimum 5",IF(B19=N6,"Max de répétitions et minimum 8",IF(B19=N7,"Max de répétitions et minimum 10",IF(B19=N8,"Max de répétitions et minimum 13",IF(B19=N9,"Max de répétitions et minimum 20",IF(B19=N10,"Max de répétitions et minimum 22",IF(B19=N11,"Max de répétitions et minimum 27",IF(B19=N12,"Max de répétitions et minimum 31",IF(B19=N13,"Max de répétitions et minimum 31",0)))))))))))</f>
        <v>0</v>
      </c>
      <c r="E111" s="158"/>
      <c r="F111" s="224" t="s">
        <v>131</v>
      </c>
      <c r="G111" s="115"/>
      <c r="H111" s="163"/>
    </row>
    <row r="112" spans="1:8" x14ac:dyDescent="0.25">
      <c r="A112" s="105" t="s">
        <v>161</v>
      </c>
      <c r="B112" s="149">
        <f>IF(B20=N3,"5",IF(B20=N4,"7",IF(B20=N5,"3",IF(B20=N6,"6",IF(B20=N7,8,IF(B20=N8,11,IF(B20=N9,14,IF(B20=N10,18,IF(B20=N11,25,IF(B20=N12,26,IF(B20=N13,26,0)))))))))))</f>
        <v>0</v>
      </c>
      <c r="C112" s="150">
        <f>IF(B20=N3,"5",IF(B20=N4,"6",IF(B20=N5,"4",IF(B20=N6,"9",IF(B20=N7,11,IF(B20=N8,15,IF(B20=N9,20,IF(B20=N10,25,IF(B20=N11,29,IF(B20=N12,31,IF(B20=N13,32,0)))))))))))</f>
        <v>0</v>
      </c>
      <c r="D112" s="151">
        <f>IF(B20=N3,"Max de répétitions",IF(B20=N4,"Max de répétitions",IF(B20=N5,"Max de répétitions et minimum 5",IF(B20=N6,"Max de répétitions et minimum 8",IF(B20=N7,"Max de répétitions et minimum 10",IF(B20=N8,"Max de répétitions et minimum 13",IF(B20=N9,"Max de répétitions et minimum 20",IF(B20=N10,"Max de répétitions et minimum 22",IF(B20=N11,"Max de répétitions et minimum 27",IF(B20=N12,"Max de répétitions et minimum 31",IF(B20=N13,"Max de répétitions et minimum 31",0)))))))))))</f>
        <v>0</v>
      </c>
      <c r="E112" s="112"/>
      <c r="F112" s="225"/>
      <c r="G112" s="115"/>
      <c r="H112" s="68"/>
    </row>
    <row r="113" spans="1:8" ht="15.75" thickBot="1" x14ac:dyDescent="0.3">
      <c r="A113" s="214" t="s">
        <v>152</v>
      </c>
      <c r="B113" s="215"/>
      <c r="C113" s="215"/>
      <c r="D113" s="215"/>
      <c r="E113" s="215"/>
      <c r="F113" s="215"/>
      <c r="G113" s="215"/>
      <c r="H113" s="215"/>
    </row>
    <row r="114" spans="1:8" x14ac:dyDescent="0.25">
      <c r="A114" s="72" t="s">
        <v>153</v>
      </c>
      <c r="B114" s="226" t="s">
        <v>324</v>
      </c>
      <c r="C114" s="227"/>
      <c r="D114" s="227"/>
      <c r="E114" s="227"/>
      <c r="F114" s="1"/>
      <c r="G114" s="1"/>
      <c r="H114" s="147" t="s">
        <v>325</v>
      </c>
    </row>
    <row r="115" spans="1:8" ht="15.75" thickBot="1" x14ac:dyDescent="0.3">
      <c r="A115" s="73" t="s">
        <v>2</v>
      </c>
      <c r="B115" s="74" t="s">
        <v>3</v>
      </c>
      <c r="C115" s="74" t="s">
        <v>4</v>
      </c>
      <c r="D115" s="74" t="s">
        <v>5</v>
      </c>
      <c r="E115" s="74" t="s">
        <v>6</v>
      </c>
      <c r="F115" s="74" t="s">
        <v>124</v>
      </c>
      <c r="G115" s="74" t="s">
        <v>125</v>
      </c>
      <c r="H115" s="74" t="s">
        <v>123</v>
      </c>
    </row>
    <row r="116" spans="1:8" ht="15.75" thickBot="1" x14ac:dyDescent="0.3">
      <c r="A116" s="130" t="s">
        <v>148</v>
      </c>
      <c r="B116" s="149">
        <f>IF(B9=N3,"6",IF(B9=N4,"8",IF(B9=N5,"4",IF(B9=N6,"6",IF(B9=N7,9,IF(B9=N8,12,IF(B9=N9,15,IF(B9=N10,19,IF(B9=N11,25,IF(B9=N12,26,IF(B9=N13,27,0)))))))))))</f>
        <v>0</v>
      </c>
      <c r="C116" s="150">
        <f>IF(B9=N3,"10",IF(B9=N4,"14",IF(B9=N5,"5",IF(B9=N6,"9",IF(B9=N7,11,IF(B9=N8,15,IF(B9=N9,20,IF(B9=N10,25,IF(B9=N11,29,IF(B9=N12,31,IF(B9=N13,32,0)))))))))))</f>
        <v>0</v>
      </c>
      <c r="D116" s="150">
        <f>IF(B9=N3,"8",IF(B9=N4,"11",IF(B9=N5,"4",IF(B9=N6,"6",IF(B9=N7,9,IF(B9=N8,11,IF(B9=N9,14,IF(B9=N10,18,IF(B9=N11,25,IF(B9=N12,26,IF(B9=N13,26,0)))))))))))</f>
        <v>0</v>
      </c>
      <c r="E116" s="151">
        <f>IF(B9=N3,"9",IF(B9=N4,"11",IF(B9=N5,"Max de répétitions et minimum 6",IF(B9=N6,"Max de répétitions et minimum 10",IF(B9=N7,"Max de répétitions et minimum 11",IF(B9=N8,"Max de répétitions et minimum 13",IF(B9=N9,"Max de répétitions et minimum 24",IF(B9=N10,"Max de répétitions et minimum 24",IF(B9=N11,"Max de répétitions et minimum 28",IF(B9=N12,"Max de répétitions et minimum 31",IF(B9=N13,"Max de répétitions et minimum 32",0)))))))))))</f>
        <v>0</v>
      </c>
      <c r="F116" s="228" t="s">
        <v>128</v>
      </c>
      <c r="G116" s="228" t="s">
        <v>127</v>
      </c>
      <c r="H116" s="166" t="str">
        <f>IF(OR(B9=N3,B9=N4),"Toutes les répétitions en excentrique : voir vidéo","")</f>
        <v/>
      </c>
    </row>
    <row r="117" spans="1:8" ht="15.75" thickBot="1" x14ac:dyDescent="0.3">
      <c r="A117" s="131" t="s">
        <v>155</v>
      </c>
      <c r="B117" s="152">
        <f>IF(B8=N3,"6",IF(B8=N4,"8",IF(B8=N5,"4",IF(B8=N6,"6",IF(B8=N7,9,IF(B8=N8,12,IF(B8=N9,15,IF(B8=N10,19,IF(B8=N11,25,IF(B8=N12,26,IF(B8=N13,27,0)))))))))))</f>
        <v>0</v>
      </c>
      <c r="C117" s="153">
        <f>IF(B8=N3,"10",IF(B8=N4,"14",IF(B8=N5,"5",IF(B8=N6,"9",IF(B8=N7,11,IF(B8=N8,15,IF(B8=N9,20,IF(B8=N10,25,IF(B8=N11,29,IF(B8=N12,31,IF(B8=N13,32,0)))))))))))</f>
        <v>0</v>
      </c>
      <c r="D117" s="153">
        <f>IF(B8=N3,"8",IF(B8=N4,"11",IF(B8=N5,"4",IF(B8=N6,"6",IF(B8=N7,9,IF(B8=N8,11,IF(B8=N9,14,IF(B8=N10,18,IF(B8=N11,25,IF(B8=N12,26,IF(B8=N13,26,0)))))))))))</f>
        <v>0</v>
      </c>
      <c r="E117" s="154">
        <f>IF(B8=N3,"9",IF(B8=N4,"11",IF(B8=N5,"Max de répétitions et minimum 6",IF(B8=N6,"Max de répétitions et minimum 10",IF(B8=N7,"Max de répétitions et minimum 11",IF(B8=N8,"Max de répétitions et minimum 13",IF(B8=N9,"Max de répétitions et minimum 24",IF(B8=N10,"Max de répétitions et minimum 24",IF(B8=N11,"Max de répétitions et minimum 28",IF(B8=N12,"Max de répétitions et minimum 31",IF(B8=N13,"Max de répétitions et minimum 32",0)))))))))))</f>
        <v>0</v>
      </c>
      <c r="F117" s="229"/>
      <c r="G117" s="229"/>
      <c r="H117" s="76" t="str">
        <f>IF(OR(B8=N3,B8=N4),"Toutes les répétitions en excentrique","")</f>
        <v/>
      </c>
    </row>
    <row r="118" spans="1:8" x14ac:dyDescent="0.25">
      <c r="A118" s="132" t="s">
        <v>147</v>
      </c>
      <c r="B118" s="155">
        <f>IF(B11=M3,"5",IF(B11=M4,"12",IF(B11=M5,"14",IF(B11=M6,"23",IF(B11=M7,29,IF(B11=M8,10,IF(B11=M9,15,IF(B11=M10,19,IF(B11=M11,19,IF(B11=M12,20,IF(B11=M13,22,IF(B11=M14,22,0))))))))))))</f>
        <v>0</v>
      </c>
      <c r="C118" s="156">
        <f>IF(B11=M3,"7",IF(B11=M4,"13",IF(B11=M5,"16",IF(B11=M6,"28",IF(B11=M7,33,IF(B11=M8,13,IF(B11=M9,18,IF(B11=M10,22,IF(B11=M11,23,IF(B11=M12,23,IF(B11=M13,27,IF(B11=M14,30,0))))))))))))</f>
        <v>0</v>
      </c>
      <c r="D118" s="156">
        <f>IF(B11=M3,"5",IF(B11=M4,"10",IF(B11=M5,"13",IF(B11=M6,"22",IF(B11=M7,29,IF(B11=M8,15,IF(B11=M9,20,IF(B11=M10,24,IF(B11=M11,27,IF(B11=M12,30,IF(B11=M13,33,IF(B11=M14,35,0))))))))))))</f>
        <v>0</v>
      </c>
      <c r="E118" s="157">
        <f>IF(B11=M3,"Max de répétitions et minimum 7",IF(B11=M4,"Max de répétitions et minimum 15",IF(B11=M5,"Max de répétitions et minimum 19",IF(B11=M6,"Max de répétitions et minimum 25",IF(B11=M7,"Max de répétitions et minimum 33",IF(B11=M8,"Max de répétitions et minimum 25",IF(B11=M9,"Max de répétitions et minimum 30",IF(B11=M10,"Max de répétitions et minimum 35",IF(B11=M11,"Max de répétitions et minimum 37",IF(B11=M12,"Max de répétitions et minimum 53",IF(B11=M13,"Max de répétitions et minimum 58",IF(B11=M14,"Max de répétitions et minimum 59",0))))))))))))</f>
        <v>0</v>
      </c>
      <c r="F118" s="224" t="s">
        <v>131</v>
      </c>
      <c r="G118" s="224" t="s">
        <v>131</v>
      </c>
      <c r="H118" s="167"/>
    </row>
    <row r="119" spans="1:8" ht="15.75" thickBot="1" x14ac:dyDescent="0.3">
      <c r="A119" s="123" t="s">
        <v>328</v>
      </c>
      <c r="B119" s="152">
        <f>IF(B10=N3,"6",IF(B10=N4,"8",IF(B10=N5,"4",IF(B10=N6,"6",IF(B10=N7,9,IF(B10=N8,12,IF(B10=N9,15,IF(B10=N10,19,IF(B10=N11,25,IF(B10=N12,26,IF(B10=N13,27,0)))))))))))</f>
        <v>0</v>
      </c>
      <c r="C119" s="153">
        <f>IF(B10=N3,"5",IF(B10=N4,"7",IF(B10=N5,"5",IF(B10=N6,"9",IF(B10=N7,11,IF(B10=N8,15,IF(B10=N9,20,IF(B10=N10,25,IF(B10=N11,29,IF(B10=N12,31,IF(B10=N13,32,0)))))))))))</f>
        <v>0</v>
      </c>
      <c r="D119" s="153">
        <f>IF(B10=N3,"5",IF(B10=N4,"6",IF(B10=N5,"4",IF(B10=N6,"6",IF(B10=N7,9,IF(B10=N8,11,IF(B10=N9,14,IF(B10=N10,18,IF(B10=N11,25,IF(B10=N12,26,IF(B10=N13,26,0)))))))))))</f>
        <v>0</v>
      </c>
      <c r="E119" s="154">
        <f>IF(B10=N3,"Max de répétitions",IF(B10=N4,"Max de répétitions",IF(B10=N5,"Max de répétitions et minimum 6",IF(B10=N6,"Max de répétitions et minimum 10",IF(B10=N7,"Max de répétitions et minimum 11",IF(B10=N8,"Max de répétitions et minimum 13",IF(B10=N9,"Max de répétitions et minimum 24",IF(B10=N10,"Max de répétitions et minimum 24",IF(B10=N11,"Max de répétitions et minimum 28",IF(B10=N12,"Max de répétitions et minimum 31",IF(B10=N13,"Max de répétitions et minimum 32",0)))))))))))</f>
        <v>0</v>
      </c>
      <c r="F119" s="229"/>
      <c r="G119" s="229"/>
      <c r="H119" s="68"/>
    </row>
    <row r="120" spans="1:8" x14ac:dyDescent="0.25">
      <c r="A120" s="126" t="s">
        <v>164</v>
      </c>
      <c r="B120" s="155">
        <f>IF(B13=N3,"6",IF(B13=N4,"8",IF(B13=N5,"4",IF(B13=N6,"6",IF(B13=N7,9,IF(B13=N8,12,IF(B13=N9,15,IF(B13=N10,19,IF(B13=N11,25,IF(B13=N12,26,IF(B13=N13,27,0)))))))))))</f>
        <v>0</v>
      </c>
      <c r="C120" s="156">
        <f>IF(B13=N3,"5",IF(B13=N4,"7",IF(B13=N5,"5",IF(B13=N6,"9",IF(B13=N7,11,IF(B13=N8,15,IF(B13=N9,20,IF(B13=N10,25,IF(B13=N11,29,IF(B13=N12,31,IF(B13=N13,32,0)))))))))))</f>
        <v>0</v>
      </c>
      <c r="D120" s="157">
        <f>IF(B13=N3,"Max de répétitions",IF(B13=N4,"Max de répétitions",IF(B13=N5,"Max de répétitions et minimum 6",IF(B13=N6,"Max de répétitions et minimum 10",IF(B13=N7,"Max de répétitions et minimum 11",IF(B13=N8,"Max de répétitions et minimum 13",IF(B13=N9,"Max de répétitions et minimum 24",IF(B13=N10,"Max de répétitions et minimum 24",IF(B13=N11,"Max de répétitions et minimum 28",IF(B13=N12,"Max de répétitions et minimum 31",IF(B13=N13,"Max de répétitions et minimum 32",0)))))))))))</f>
        <v>0</v>
      </c>
      <c r="E120" s="158"/>
      <c r="F120" s="224" t="s">
        <v>131</v>
      </c>
      <c r="G120" s="115"/>
      <c r="H120" s="68"/>
    </row>
    <row r="121" spans="1:8" x14ac:dyDescent="0.25">
      <c r="A121" s="126" t="s">
        <v>157</v>
      </c>
      <c r="B121" s="149">
        <f>IF(B12=N3,"6",IF(B12=N4,"8",IF(B12=N5,"4",IF(B12=N6,"6",IF(B12=N7,9,IF(B12=N8,12,IF(B12=N9,15,IF(B12=N10,19,IF(B12=N11,25,IF(B12=N12,26,IF(B12=N13,27,0)))))))))))</f>
        <v>0</v>
      </c>
      <c r="C121" s="150">
        <f>IF(B12=N3,"5",IF(B12=N4,"7",IF(B12=N5,"5",IF(B12=N6,"9",IF(B12=N7,11,IF(B12=N8,15,IF(B12=N9,20,IF(B12=N10,25,IF(B12=N11,29,IF(B12=N12,31,IF(B12=N13,32,0)))))))))))</f>
        <v>0</v>
      </c>
      <c r="D121" s="151">
        <f>IF(B12=N3,"Max de répétitions",IF(B12=N4,"Max de répétitions",IF(B12=N5,"Max de répétitions et minimum 6",IF(B12=N6,"Max de répétitions et minimum 10",IF(B12=N7,"Max de répétitions et minimum 11",IF(B12=N8,"Max de répétitions et minimum 13",IF(B12=N9,"Max de répétitions et minimum 24",IF(B12=N10,"Max de répétitions et minimum 24",IF(B12=N11,"Max de répétitions et minimum 28",IF(B12=N12,"Max de répétitions et minimum 31",IF(B12=N13,"Max de répétitions et minimum 32",0)))))))))))</f>
        <v>0</v>
      </c>
      <c r="E121" s="112"/>
      <c r="F121" s="225"/>
      <c r="G121" s="115"/>
      <c r="H121" s="68"/>
    </row>
    <row r="122" spans="1:8" ht="15.75" thickBot="1" x14ac:dyDescent="0.3">
      <c r="A122" s="88" t="s">
        <v>156</v>
      </c>
      <c r="B122" s="226" t="s">
        <v>324</v>
      </c>
      <c r="C122" s="227"/>
      <c r="D122" s="227"/>
      <c r="E122" s="227"/>
      <c r="F122" s="1"/>
      <c r="G122" s="1"/>
      <c r="H122" s="147" t="s">
        <v>325</v>
      </c>
    </row>
    <row r="123" spans="1:8" x14ac:dyDescent="0.25">
      <c r="A123" s="60" t="s">
        <v>2</v>
      </c>
      <c r="B123" s="64" t="s">
        <v>3</v>
      </c>
      <c r="C123" s="64" t="s">
        <v>4</v>
      </c>
      <c r="D123" s="64" t="s">
        <v>5</v>
      </c>
      <c r="E123" s="64" t="s">
        <v>6</v>
      </c>
      <c r="F123" s="64" t="s">
        <v>124</v>
      </c>
      <c r="G123" s="64" t="s">
        <v>125</v>
      </c>
      <c r="H123" s="64" t="s">
        <v>123</v>
      </c>
    </row>
    <row r="124" spans="1:8" x14ac:dyDescent="0.25">
      <c r="A124" s="105" t="s">
        <v>302</v>
      </c>
      <c r="B124" s="149">
        <f>IF(B15=O3,"8",IF(B15=O4,"14",IF(B15=O5,"22",IF(B15=O6,"26",IF(B15=O7,30,IF(B15=O8,36,IF(B15=O9,42,IF(B15=O10,48,IF(B15=O11,52,IF(B15=O12,58,IF(B15=O13,44,IF(B15=O14,58,IF(B15=O15,60,IF(B15=O16,66,0))))))))))))))</f>
        <v>0</v>
      </c>
      <c r="C124" s="150">
        <f>IF(B15=O3,"8",IF(B15=O4,"12",IF(B15=O5,"22",IF(B15=O6,"26",IF(B15=O7,30,IF(B15=O8,36,IF(B15=O9,42,IF(B15=O10,48,IF(B15=O11,52,IF(B15=O12,58,IF(B15=O13,44,IF(B15=O14,58,IF(B15=O15,60,IF(B15=O16,66,0))))))))))))))</f>
        <v>0</v>
      </c>
      <c r="D124" s="151">
        <f>IF(B15=O3,"8",IF(B15=O4,"14",IF(B15=O5,"20",IF(B15=O6,"24",IF(B15=O7,28,IF(B15=O8,36,IF(B15=O9,40,IF(B15=O10,46,IF(B15=O11,54,IF(B15=O12,58,IF(B15=O13,52,IF(B15=O14,52,IF(B15=O15,60,IF(B15=O16,64,0))))))))))))))</f>
        <v>0</v>
      </c>
      <c r="E124" s="68">
        <f>IF(B15=O3,"Max de répétitions et minimum 10",IF(B15=O4,"Max de répétitions et minimum 15",IF(B15=O5,"Max de répétitions et minimum 24",IF(B15=O6,"Max de répétitions et minimum 28",IF(B15=O7,"Max de répétitions et minimum 32",IF(B15=O8,"Max de répétitions et minimum 38",IF(B15=O9,"Max de répétitions et minimum 46",IF(B15=O10,"Max de répétitions et minimum 50",IF(B15=O11,"Max de répétitions et minimum 60",IF(B15=O12,"Max de répétitions et minimum 62",IF(B15=O13,"Max de répétitions et minimum 56",IF(B15=O14,"Max de répétitions et minimum 60",IF(B15=O15,"Max de répétitions et minimum 64",IF(B15=O16,"Max de répétitions et minimum 68",0))))))))))))))</f>
        <v>0</v>
      </c>
      <c r="F124" s="228" t="s">
        <v>130</v>
      </c>
      <c r="G124" s="228" t="s">
        <v>127</v>
      </c>
      <c r="H124" s="68"/>
    </row>
    <row r="125" spans="1:8" ht="15.75" thickBot="1" x14ac:dyDescent="0.3">
      <c r="A125" s="129" t="s">
        <v>304</v>
      </c>
      <c r="B125" s="152">
        <f>IF(B16=N3,"6",IF(B16=N4,"8",IF(B16=N5,"4",IF(B16=N6,"6",IF(B16=N7,9,IF(B16=N8,12,IF(B16=N9,15,IF(B16=N10,19,IF(B16=N11,25,IF(B16=N12,26,IF(B16=N13,27,0)))))))))))</f>
        <v>0</v>
      </c>
      <c r="C125" s="153">
        <f>IF(B16=N3,"5",IF(B16=N4,"7",IF(B16=N5,"5",IF(B16=N6,"9",IF(B16=N7,11,IF(B16=N8,15,IF(B16=N9,20,IF(B16=N10,25,IF(B16=N11,29,IF(B16=N12,31,IF(B16=N13,32,0)))))))))))</f>
        <v>0</v>
      </c>
      <c r="D125" s="154">
        <f>IF(B16=N3,"5",IF(B16=N4,"6",IF(B16=N5,"4",IF(B16=N6,"6",IF(B16=N7,9,IF(B16=N8,11,IF(B16=N9,14,IF(B16=N10,18,IF(B16=N11,25,IF(B16=N12,26,IF(B16=N13,26,0)))))))))))</f>
        <v>0</v>
      </c>
      <c r="E125" s="159">
        <f>IF(B16=N3,"Max de répétitions",IF(B16=N4,"Max de répétitions",IF(B16=N5,"Max de répétitions et minimum 6",IF(B16=N6,"Max de répétitions et minimum 10",IF(B16=N7,"Max de répétitions et minimum 11",IF(B16=N8,"Max de répétitions et minimum 13",IF(B16=N9,"Max de répétitions et minimum 24",IF(B16=N10,"Max de répétitions et minimum 24",IF(B16=N11,"Max de répétitions et minimum 28",IF(B16=N12,"Max de répétitions et minimum 31",IF(B16=N13,"Max de répétitions et minimum 32",0)))))))))))</f>
        <v>0</v>
      </c>
      <c r="F125" s="229"/>
      <c r="G125" s="229"/>
      <c r="H125" s="159"/>
    </row>
    <row r="126" spans="1:8" ht="15.75" thickBot="1" x14ac:dyDescent="0.3">
      <c r="A126" s="105" t="s">
        <v>174</v>
      </c>
      <c r="B126" s="160">
        <f>IF(B17=N3,"6",IF(B17=N4,"8",IF(B17=N5,"4",IF(B17=N6,"6",IF(B17=N7,9,IF(B17=N8,12,IF(B17=N9,15,IF(B17=N10,19,IF(B17=N11,25,IF(B17=N12,26,IF(B17=N13,27,0)))))))))))</f>
        <v>0</v>
      </c>
      <c r="C126" s="161">
        <f>IF(B17=N3,"5",IF(B17=N4,"7",IF(B17=N5,"5",IF(B17=N6,"9",IF(B17=N7,11,IF(B17=N8,15,IF(B17=N9,20,IF(B17=N10,25,IF(B17=N11,29,IF(B17=N12,31,IF(B17=N13,32,0)))))))))))</f>
        <v>0</v>
      </c>
      <c r="D126" s="162">
        <f>IF(B17=N3,"5",IF(B17=N4,"6",IF(B17=N5,"4",IF(B17=N6,"6",IF(B17=N7,9,IF(B17=N8,11,IF(B17=N9,14,IF(B17=N10,18,IF(B17=N11,25,IF(B17=N12,26,IF(B17=N13,26,0)))))))))))</f>
        <v>0</v>
      </c>
      <c r="E126" s="163">
        <f>IF(B17=N3,"Max de répétitions",IF(B17=N4,"Max de répétitions",IF(B17=N5,"Max de répétitions et minimum 6",IF(B17=N6,"Max de répétitions et minimum 10",IF(B17=N7,"Max de répétitions et minimum 11",IF(B17=N8,"Max de répétitions et minimum 13",IF(B17=N9,"Max de répétitions et minimum 24",IF(B17=N10,"Max de répétitions et minimum 24",IF(B17=N11,"Max de répétitions et minimum 28",IF(B17=N12,"Max de répétitions et minimum 31",IF(B17=N13,"Max de répétitions et minimum 32",0)))))))))))</f>
        <v>0</v>
      </c>
      <c r="F126" s="224" t="s">
        <v>173</v>
      </c>
      <c r="G126" s="224" t="s">
        <v>131</v>
      </c>
      <c r="H126" s="76" t="s">
        <v>137</v>
      </c>
    </row>
    <row r="127" spans="1:8" ht="15.75" thickBot="1" x14ac:dyDescent="0.3">
      <c r="A127" s="124" t="s">
        <v>305</v>
      </c>
      <c r="B127" s="152">
        <f>IF(B18=M3,"5",IF(B18=M4,"12",IF(B18=M5,"14",IF(B18=M6,"23",IF(B18=M7,29,IF(B18=M8,10,IF(B18=M9,15,IF(B18=M10,19,IF(B18=M11,19,IF(B18=M12,20,IF(B18=M13,22,IF(B18=M14,22,0))))))))))))</f>
        <v>0</v>
      </c>
      <c r="C127" s="153">
        <f>IF(B18=M3,"7",IF(B18=M4,"13",IF(B18=M5,"16",IF(B18=M6,"28",IF(B18=M7,33,IF(B18=M8,13,IF(B18=M9,18,IF(B18=M10,22,IF(B18=M11,23,IF(B18=M12,23,IF(B18=M13,27,IF(B18=M14,30,0))))))))))))</f>
        <v>0</v>
      </c>
      <c r="D127" s="154">
        <f>IF(B18=M3,"5",IF(B18=M4,"10",IF(B18=M5,"13",IF(B18=M6,"22",IF(B18=M7,29,IF(B18=M8,15,IF(B18=M9,20,IF(B18=M10,24,IF(B18=M11,27,IF(B18=M12,30,IF(B18=M13,33,IF(B18=M14,35,0))))))))))))</f>
        <v>0</v>
      </c>
      <c r="E127" s="159">
        <f>IF(B18=M3,"Max de répétitions et minimum 7",IF(B18=M4,"Max de répétitions et minimum 15",IF(B18=M5,"Max de répétitions et minimum 19",IF(B18=M6,"Max de répétitions et minimum 25",IF(B18=M7,"Max de répétitions et minimum 33",IF(B18=M8,"Max de répétitions et minimum 25",IF(B18=M9,"Max de répétitions et minimum 30",IF(B18=M10,"Max de répétitions et minimum 35",IF(B18=M11,"Max de répétitions et minimum 37",IF(B18=M12,"Max de répétitions et minimum 53",IF(B18=M13,"Max de répétitions et minimum 58",IF(B18=M14,"Max de répétitions et minimum 59",0))))))))))))</f>
        <v>0</v>
      </c>
      <c r="F127" s="229"/>
      <c r="G127" s="229"/>
      <c r="H127" s="159"/>
    </row>
    <row r="128" spans="1:8" x14ac:dyDescent="0.25">
      <c r="A128" s="105" t="s">
        <v>327</v>
      </c>
      <c r="B128" s="160">
        <f>IF(B19=N3,"6",IF(B19=N4,"8",IF(B19=N5,"4",IF(B19=N6,"6",IF(B19=N7,9,IF(B19=N8,12,IF(B19=N9,15,IF(B19=N10,19,IF(B19=N11,25,IF(B19=N12,26,IF(B19=N13,27,0)))))))))))</f>
        <v>0</v>
      </c>
      <c r="C128" s="161">
        <f>IF(B19=N3,"5",IF(B19=N4,"7",IF(B19=N5,"5",IF(B19=N6,"9",IF(B19=N7,11,IF(B19=N8,15,IF(B19=N9,20,IF(B19=N10,25,IF(B19=N11,29,IF(B19=N12,31,IF(B19=N13,32,0)))))))))))</f>
        <v>0</v>
      </c>
      <c r="D128" s="162">
        <f>IF(B19=N3,"Max de répétitions",IF(B19=N4,"Max de répétitions",IF(B19=N5,"Max de répétitions et minimum 6",IF(B19=N6,"Max de répétitions et minimum 10",IF(B19=N7,"Max de répétitions et minimum 11",IF(B19=N8,"Max de répétitions et minimum 13",IF(B19=N9,"Max de répétitions et minimum 24",IF(B19=N10,"Max de répétitions et minimum 24",IF(B19=N11,"Max de répétitions et minimum 28",IF(B19=N12,"Max de répétitions et minimum 31",IF(B19=N13,"Max de répétitions et minimum 32",0)))))))))))</f>
        <v>0</v>
      </c>
      <c r="E128" s="158"/>
      <c r="F128" s="224" t="s">
        <v>131</v>
      </c>
      <c r="G128" s="115"/>
      <c r="H128" s="163"/>
    </row>
    <row r="129" spans="1:8" x14ac:dyDescent="0.25">
      <c r="A129" s="105" t="s">
        <v>161</v>
      </c>
      <c r="B129" s="149">
        <f>IF(B20=N3,"6",IF(B20=N4,"8",IF(B20=N5,"4",IF(B20=N6,"6",IF(B20=N7,9,IF(B20=N8,12,IF(B20=N9,15,IF(B20=N10,19,IF(B20=N11,25,IF(B20=N12,26,IF(B20=N13,27,0)))))))))))</f>
        <v>0</v>
      </c>
      <c r="C129" s="150">
        <f>IF(B20=N3,"5",IF(B20=N4,"7",IF(B20=N5,"5",IF(B20=N6,"9",IF(B20=N7,11,IF(B20=N8,15,IF(B20=N9,20,IF(B20=N10,25,IF(B20=N11,29,IF(B20=N12,31,IF(B20=N13,32,0)))))))))))</f>
        <v>0</v>
      </c>
      <c r="D129" s="151">
        <f>IF(B20=N3,"Max de répétitions",IF(B20=N4,"Max de répétitions",IF(B20=N5,"Max de répétitions et minimum 6",IF(B20=N6,"Max de répétitions et minimum 10",IF(B20=N7,"Max de répétitions et minimum 11",IF(B20=N8,"Max de répétitions et minimum 13",IF(B20=N9,"Max de répétitions et minimum 24",IF(B20=N10,"Max de répétitions et minimum 24",IF(B20=N11,"Max de répétitions et minimum 28",IF(B20=N12,"Max de répétitions et minimum 31",IF(B20=N13,"Max de répétitions et minimum 32",0)))))))))))</f>
        <v>0</v>
      </c>
      <c r="E129" s="112"/>
      <c r="F129" s="225"/>
      <c r="G129" s="115"/>
      <c r="H129" s="68"/>
    </row>
    <row r="130" spans="1:8" x14ac:dyDescent="0.25">
      <c r="A130" s="214" t="s">
        <v>139</v>
      </c>
      <c r="B130" s="215"/>
      <c r="C130" s="215"/>
      <c r="D130" s="215"/>
      <c r="E130" s="215"/>
      <c r="F130" s="215"/>
      <c r="G130" s="215"/>
      <c r="H130" s="215"/>
    </row>
    <row r="131" spans="1:8" x14ac:dyDescent="0.25">
      <c r="A131" s="214" t="s">
        <v>140</v>
      </c>
      <c r="B131" s="215"/>
      <c r="C131" s="215"/>
      <c r="D131" s="215"/>
      <c r="E131" s="215"/>
      <c r="F131" s="215"/>
      <c r="G131" s="215"/>
      <c r="H131" s="215"/>
    </row>
    <row r="132" spans="1:8" x14ac:dyDescent="0.25">
      <c r="A132" s="212" t="s">
        <v>390</v>
      </c>
      <c r="B132" s="212"/>
      <c r="C132" s="212"/>
      <c r="D132" s="212"/>
      <c r="E132" s="212"/>
      <c r="F132" s="212"/>
      <c r="G132" s="212"/>
      <c r="H132" s="212"/>
    </row>
    <row r="133" spans="1:8" x14ac:dyDescent="0.25">
      <c r="A133" s="212" t="s">
        <v>329</v>
      </c>
      <c r="B133" s="212"/>
      <c r="C133" s="212"/>
      <c r="D133" s="212"/>
      <c r="E133" s="212"/>
      <c r="F133" s="212"/>
      <c r="G133" s="212"/>
      <c r="H133" s="212"/>
    </row>
    <row r="134" spans="1:8" x14ac:dyDescent="0.25">
      <c r="A134" s="212" t="s">
        <v>170</v>
      </c>
      <c r="B134" s="212"/>
      <c r="C134" s="212"/>
      <c r="D134" s="212"/>
      <c r="E134" s="212"/>
      <c r="F134" s="212"/>
      <c r="G134" s="212"/>
      <c r="H134" s="212"/>
    </row>
    <row r="135" spans="1:8" x14ac:dyDescent="0.25">
      <c r="A135" s="212" t="s">
        <v>175</v>
      </c>
      <c r="B135" s="212"/>
      <c r="C135" s="212"/>
      <c r="D135" s="212"/>
      <c r="E135" s="212"/>
      <c r="F135" s="212"/>
      <c r="G135" s="212"/>
      <c r="H135" s="212"/>
    </row>
    <row r="136" spans="1:8" s="1" customFormat="1" x14ac:dyDescent="0.25"/>
    <row r="137" spans="1:8" s="1" customFormat="1" x14ac:dyDescent="0.25"/>
    <row r="138" spans="1:8" s="1" customFormat="1" x14ac:dyDescent="0.25"/>
    <row r="139" spans="1:8" s="1" customFormat="1" x14ac:dyDescent="0.25"/>
    <row r="140" spans="1:8" s="1" customFormat="1" x14ac:dyDescent="0.25"/>
    <row r="141" spans="1:8" s="1" customFormat="1" x14ac:dyDescent="0.25"/>
    <row r="142" spans="1:8" s="1" customFormat="1" x14ac:dyDescent="0.25"/>
    <row r="143" spans="1:8" s="1" customFormat="1" x14ac:dyDescent="0.25"/>
    <row r="144" spans="1:8"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row r="1179" s="1" customFormat="1" x14ac:dyDescent="0.25"/>
    <row r="1180" s="1" customFormat="1" x14ac:dyDescent="0.25"/>
    <row r="1181" s="1" customFormat="1" x14ac:dyDescent="0.25"/>
    <row r="1182" s="1" customFormat="1" x14ac:dyDescent="0.25"/>
    <row r="1183" s="1" customFormat="1" x14ac:dyDescent="0.25"/>
    <row r="1184" s="1" customFormat="1" x14ac:dyDescent="0.25"/>
    <row r="1185" s="1" customFormat="1" x14ac:dyDescent="0.25"/>
    <row r="1186" s="1" customFormat="1" x14ac:dyDescent="0.25"/>
    <row r="1187" s="1" customFormat="1" x14ac:dyDescent="0.25"/>
    <row r="1188" s="1" customFormat="1" x14ac:dyDescent="0.25"/>
    <row r="1189" s="1" customFormat="1" x14ac:dyDescent="0.25"/>
    <row r="1190" s="1" customFormat="1" x14ac:dyDescent="0.25"/>
    <row r="1191" s="1" customFormat="1" x14ac:dyDescent="0.25"/>
    <row r="1192" s="1" customFormat="1" x14ac:dyDescent="0.25"/>
    <row r="1193" s="1" customFormat="1" x14ac:dyDescent="0.25"/>
    <row r="1194" s="1" customFormat="1" x14ac:dyDescent="0.25"/>
    <row r="1195" s="1" customFormat="1" x14ac:dyDescent="0.25"/>
    <row r="1196" s="1" customFormat="1" x14ac:dyDescent="0.25"/>
    <row r="1197" s="1" customFormat="1" x14ac:dyDescent="0.25"/>
    <row r="1198" s="1" customFormat="1" x14ac:dyDescent="0.25"/>
    <row r="1199" s="1" customFormat="1" x14ac:dyDescent="0.25"/>
    <row r="1200" s="1" customFormat="1" x14ac:dyDescent="0.25"/>
    <row r="1201" s="1" customFormat="1" x14ac:dyDescent="0.25"/>
    <row r="1202" s="1" customFormat="1" x14ac:dyDescent="0.25"/>
    <row r="1203" s="1" customFormat="1" x14ac:dyDescent="0.25"/>
    <row r="1204" s="1" customFormat="1" x14ac:dyDescent="0.25"/>
    <row r="1205" s="1" customFormat="1" x14ac:dyDescent="0.25"/>
    <row r="1206" s="1" customFormat="1" x14ac:dyDescent="0.25"/>
    <row r="1207" s="1" customFormat="1" x14ac:dyDescent="0.25"/>
    <row r="1208" s="1" customFormat="1" x14ac:dyDescent="0.25"/>
    <row r="1209" s="1" customFormat="1" x14ac:dyDescent="0.25"/>
    <row r="1210" s="1" customFormat="1" x14ac:dyDescent="0.25"/>
    <row r="1211" s="1" customFormat="1" x14ac:dyDescent="0.25"/>
    <row r="1212" s="1" customFormat="1" x14ac:dyDescent="0.25"/>
    <row r="1213" s="1" customFormat="1" x14ac:dyDescent="0.25"/>
    <row r="1214" s="1" customFormat="1" x14ac:dyDescent="0.25"/>
    <row r="1215" s="1" customFormat="1" x14ac:dyDescent="0.25"/>
    <row r="1216" s="1" customFormat="1" x14ac:dyDescent="0.25"/>
    <row r="1217" s="1" customFormat="1" x14ac:dyDescent="0.25"/>
    <row r="1218" s="1" customFormat="1" x14ac:dyDescent="0.25"/>
    <row r="1219" s="1" customFormat="1" x14ac:dyDescent="0.25"/>
    <row r="1220" s="1" customFormat="1" x14ac:dyDescent="0.25"/>
    <row r="1221" s="1" customFormat="1" x14ac:dyDescent="0.25"/>
    <row r="1222" s="1" customFormat="1" x14ac:dyDescent="0.25"/>
    <row r="1223" s="1" customFormat="1" x14ac:dyDescent="0.25"/>
    <row r="1224" s="1" customFormat="1" x14ac:dyDescent="0.25"/>
    <row r="1225" s="1" customFormat="1" x14ac:dyDescent="0.25"/>
    <row r="1226" s="1" customFormat="1" x14ac:dyDescent="0.25"/>
    <row r="1227" s="1" customFormat="1" x14ac:dyDescent="0.25"/>
    <row r="1228" s="1" customFormat="1" x14ac:dyDescent="0.25"/>
    <row r="1229" s="1" customFormat="1" x14ac:dyDescent="0.25"/>
    <row r="1230" s="1" customFormat="1" x14ac:dyDescent="0.25"/>
    <row r="1231" s="1" customFormat="1" x14ac:dyDescent="0.25"/>
    <row r="1232" s="1" customFormat="1" x14ac:dyDescent="0.25"/>
    <row r="1233" s="1" customFormat="1" x14ac:dyDescent="0.25"/>
    <row r="1234" s="1" customFormat="1" x14ac:dyDescent="0.25"/>
    <row r="1235" s="1" customFormat="1" x14ac:dyDescent="0.25"/>
    <row r="1236" s="1" customFormat="1" x14ac:dyDescent="0.25"/>
    <row r="1237" s="1" customFormat="1" x14ac:dyDescent="0.25"/>
    <row r="1238" s="1" customFormat="1" x14ac:dyDescent="0.25"/>
    <row r="1239" s="1" customFormat="1" x14ac:dyDescent="0.25"/>
    <row r="1240" s="1" customFormat="1" x14ac:dyDescent="0.25"/>
    <row r="1241" s="1" customFormat="1" x14ac:dyDescent="0.25"/>
    <row r="1242" s="1" customFormat="1" x14ac:dyDescent="0.25"/>
    <row r="1243" s="1" customFormat="1" x14ac:dyDescent="0.25"/>
    <row r="1244" s="1" customFormat="1" x14ac:dyDescent="0.25"/>
    <row r="1245" s="1" customFormat="1" x14ac:dyDescent="0.25"/>
    <row r="1246" s="1" customFormat="1" x14ac:dyDescent="0.25"/>
    <row r="1247" s="1" customFormat="1" x14ac:dyDescent="0.25"/>
    <row r="1248" s="1" customFormat="1" x14ac:dyDescent="0.25"/>
    <row r="1249" s="1" customFormat="1" x14ac:dyDescent="0.25"/>
    <row r="1250" s="1" customFormat="1" x14ac:dyDescent="0.25"/>
    <row r="1251" s="1" customFormat="1" x14ac:dyDescent="0.25"/>
    <row r="1252" s="1" customFormat="1" x14ac:dyDescent="0.25"/>
    <row r="1253" s="1" customFormat="1" x14ac:dyDescent="0.25"/>
    <row r="1254" s="1" customFormat="1" x14ac:dyDescent="0.25"/>
    <row r="1255" s="1" customFormat="1" x14ac:dyDescent="0.25"/>
    <row r="1256" s="1" customFormat="1" x14ac:dyDescent="0.25"/>
    <row r="1257" s="1" customFormat="1" x14ac:dyDescent="0.25"/>
    <row r="1258" s="1" customFormat="1" x14ac:dyDescent="0.25"/>
    <row r="1259" s="1" customFormat="1" x14ac:dyDescent="0.25"/>
    <row r="1260" s="1" customFormat="1" x14ac:dyDescent="0.25"/>
    <row r="1261" s="1" customFormat="1" x14ac:dyDescent="0.25"/>
    <row r="1262" s="1" customFormat="1" x14ac:dyDescent="0.25"/>
    <row r="1263" s="1" customFormat="1" x14ac:dyDescent="0.25"/>
    <row r="1264" s="1" customFormat="1" x14ac:dyDescent="0.25"/>
    <row r="1265" s="1" customFormat="1" x14ac:dyDescent="0.25"/>
    <row r="1266" s="1" customFormat="1" x14ac:dyDescent="0.25"/>
    <row r="1267" s="1" customFormat="1" x14ac:dyDescent="0.25"/>
    <row r="1268" s="1" customFormat="1" x14ac:dyDescent="0.25"/>
    <row r="1269" s="1" customFormat="1" x14ac:dyDescent="0.25"/>
    <row r="1270" s="1" customFormat="1" x14ac:dyDescent="0.25"/>
    <row r="1271" s="1" customFormat="1" x14ac:dyDescent="0.25"/>
    <row r="1272" s="1" customFormat="1" x14ac:dyDescent="0.25"/>
    <row r="1273" s="1" customFormat="1" x14ac:dyDescent="0.25"/>
    <row r="1274" s="1" customFormat="1" x14ac:dyDescent="0.25"/>
    <row r="1275" s="1" customFormat="1" x14ac:dyDescent="0.25"/>
    <row r="1276" s="1" customFormat="1" x14ac:dyDescent="0.25"/>
    <row r="1277" s="1" customFormat="1" x14ac:dyDescent="0.25"/>
    <row r="1278" s="1" customFormat="1" x14ac:dyDescent="0.25"/>
    <row r="1279" s="1" customFormat="1" x14ac:dyDescent="0.25"/>
    <row r="1280" s="1" customFormat="1" x14ac:dyDescent="0.25"/>
    <row r="1281" s="1" customFormat="1" x14ac:dyDescent="0.25"/>
    <row r="1282" s="1" customFormat="1" x14ac:dyDescent="0.25"/>
    <row r="1283" s="1" customFormat="1" x14ac:dyDescent="0.25"/>
    <row r="1284" s="1" customFormat="1" x14ac:dyDescent="0.25"/>
    <row r="1285" s="1" customFormat="1" x14ac:dyDescent="0.25"/>
    <row r="1286" s="1" customFormat="1" x14ac:dyDescent="0.25"/>
    <row r="1287" s="1" customFormat="1" x14ac:dyDescent="0.25"/>
    <row r="1288" s="1" customFormat="1" x14ac:dyDescent="0.25"/>
    <row r="1289" s="1" customFormat="1" x14ac:dyDescent="0.25"/>
    <row r="1290" s="1" customFormat="1" x14ac:dyDescent="0.25"/>
    <row r="1291" s="1" customFormat="1" x14ac:dyDescent="0.25"/>
    <row r="1292" s="1" customFormat="1" x14ac:dyDescent="0.25"/>
    <row r="1293" s="1" customFormat="1" x14ac:dyDescent="0.25"/>
    <row r="1294" s="1" customFormat="1" x14ac:dyDescent="0.25"/>
    <row r="1295" s="1" customFormat="1" x14ac:dyDescent="0.25"/>
    <row r="1296" s="1" customFormat="1" x14ac:dyDescent="0.25"/>
    <row r="1297" s="1" customFormat="1" x14ac:dyDescent="0.25"/>
    <row r="1298" s="1" customFormat="1" x14ac:dyDescent="0.25"/>
    <row r="1299" s="1" customFormat="1" x14ac:dyDescent="0.25"/>
    <row r="1300" s="1" customFormat="1" x14ac:dyDescent="0.25"/>
    <row r="1301" s="1" customFormat="1" x14ac:dyDescent="0.25"/>
    <row r="1302" s="1" customFormat="1" x14ac:dyDescent="0.25"/>
    <row r="1303" s="1" customFormat="1" x14ac:dyDescent="0.25"/>
    <row r="1304" s="1" customFormat="1" x14ac:dyDescent="0.25"/>
    <row r="1305" s="1" customFormat="1" x14ac:dyDescent="0.25"/>
    <row r="1306" s="1" customFormat="1" x14ac:dyDescent="0.25"/>
    <row r="1307" s="1" customFormat="1" x14ac:dyDescent="0.25"/>
    <row r="1308" s="1" customFormat="1" x14ac:dyDescent="0.25"/>
    <row r="1309" s="1" customFormat="1" x14ac:dyDescent="0.25"/>
    <row r="1310" s="1" customFormat="1" x14ac:dyDescent="0.25"/>
    <row r="1311" s="1" customFormat="1" x14ac:dyDescent="0.25"/>
    <row r="1312" s="1" customFormat="1" x14ac:dyDescent="0.25"/>
    <row r="1313" s="1" customFormat="1" x14ac:dyDescent="0.25"/>
    <row r="1314" s="1" customFormat="1" x14ac:dyDescent="0.25"/>
    <row r="1315" s="1" customFormat="1" x14ac:dyDescent="0.25"/>
    <row r="1316" s="1" customFormat="1" x14ac:dyDescent="0.25"/>
    <row r="1317" s="1" customFormat="1" x14ac:dyDescent="0.25"/>
    <row r="1318" s="1" customFormat="1" x14ac:dyDescent="0.25"/>
    <row r="1319" s="1" customFormat="1" x14ac:dyDescent="0.25"/>
    <row r="1320" s="1" customFormat="1" x14ac:dyDescent="0.25"/>
    <row r="1321" s="1" customFormat="1" x14ac:dyDescent="0.25"/>
    <row r="1322" s="1" customFormat="1" x14ac:dyDescent="0.25"/>
    <row r="1323" s="1" customFormat="1" x14ac:dyDescent="0.25"/>
    <row r="1324" s="1" customFormat="1" x14ac:dyDescent="0.25"/>
    <row r="1325" s="1" customFormat="1" x14ac:dyDescent="0.25"/>
    <row r="1326" s="1" customFormat="1" x14ac:dyDescent="0.25"/>
    <row r="1327" s="1" customFormat="1" x14ac:dyDescent="0.25"/>
    <row r="1328" s="1" customFormat="1" x14ac:dyDescent="0.25"/>
    <row r="1329" s="1" customFormat="1" x14ac:dyDescent="0.25"/>
    <row r="1330" s="1" customFormat="1" x14ac:dyDescent="0.25"/>
    <row r="1331" s="1" customFormat="1" x14ac:dyDescent="0.25"/>
    <row r="1332" s="1" customFormat="1" x14ac:dyDescent="0.25"/>
    <row r="1333" s="1" customFormat="1" x14ac:dyDescent="0.25"/>
    <row r="1334" s="1" customFormat="1" x14ac:dyDescent="0.25"/>
    <row r="1335" s="1" customFormat="1" x14ac:dyDescent="0.25"/>
    <row r="1336" s="1" customFormat="1" x14ac:dyDescent="0.25"/>
    <row r="1337" s="1" customFormat="1" x14ac:dyDescent="0.25"/>
    <row r="1338" s="1" customFormat="1" x14ac:dyDescent="0.25"/>
    <row r="1339" s="1" customFormat="1" x14ac:dyDescent="0.25"/>
    <row r="1340" s="1" customFormat="1" x14ac:dyDescent="0.25"/>
    <row r="1341" s="1" customFormat="1" x14ac:dyDescent="0.25"/>
    <row r="1342" s="1" customFormat="1" x14ac:dyDescent="0.25"/>
    <row r="1343" s="1" customFormat="1" x14ac:dyDescent="0.25"/>
    <row r="1344" s="1" customFormat="1" x14ac:dyDescent="0.25"/>
    <row r="1345" s="1" customFormat="1" x14ac:dyDescent="0.25"/>
    <row r="1346" s="1" customFormat="1" x14ac:dyDescent="0.25"/>
    <row r="1347" s="1" customFormat="1" x14ac:dyDescent="0.25"/>
    <row r="1348" s="1" customFormat="1" x14ac:dyDescent="0.25"/>
    <row r="1349" s="1" customFormat="1" x14ac:dyDescent="0.25"/>
    <row r="1350" s="1" customFormat="1" x14ac:dyDescent="0.25"/>
    <row r="1351" s="1" customFormat="1" x14ac:dyDescent="0.25"/>
    <row r="1352" s="1" customFormat="1" x14ac:dyDescent="0.25"/>
    <row r="1353" s="1" customFormat="1" x14ac:dyDescent="0.25"/>
    <row r="1354" s="1" customFormat="1" x14ac:dyDescent="0.25"/>
    <row r="1355" s="1" customFormat="1" x14ac:dyDescent="0.25"/>
    <row r="1356" s="1" customFormat="1" x14ac:dyDescent="0.25"/>
    <row r="1357" s="1" customFormat="1" x14ac:dyDescent="0.25"/>
    <row r="1358" s="1" customFormat="1" x14ac:dyDescent="0.25"/>
    <row r="1359" s="1" customFormat="1" x14ac:dyDescent="0.25"/>
    <row r="1360" s="1" customFormat="1" x14ac:dyDescent="0.25"/>
    <row r="1361" s="1" customFormat="1" x14ac:dyDescent="0.25"/>
    <row r="1362" s="1" customFormat="1" x14ac:dyDescent="0.25"/>
    <row r="1363" s="1" customFormat="1" x14ac:dyDescent="0.25"/>
    <row r="1364" s="1" customFormat="1" x14ac:dyDescent="0.25"/>
    <row r="1365" s="1" customFormat="1" x14ac:dyDescent="0.25"/>
    <row r="1366" s="1" customFormat="1" x14ac:dyDescent="0.25"/>
    <row r="1367" s="1" customFormat="1" x14ac:dyDescent="0.25"/>
    <row r="1368" s="1" customFormat="1" x14ac:dyDescent="0.25"/>
    <row r="1369" s="1" customFormat="1" x14ac:dyDescent="0.25"/>
    <row r="1370" s="1" customFormat="1" x14ac:dyDescent="0.25"/>
    <row r="1371" s="1" customFormat="1" x14ac:dyDescent="0.25"/>
    <row r="1372" s="1" customFormat="1" x14ac:dyDescent="0.25"/>
    <row r="1373" s="1" customFormat="1" x14ac:dyDescent="0.25"/>
    <row r="1374" s="1" customFormat="1" x14ac:dyDescent="0.25"/>
    <row r="1375" s="1" customFormat="1" x14ac:dyDescent="0.25"/>
    <row r="1376" s="1" customFormat="1" x14ac:dyDescent="0.25"/>
    <row r="1377" s="1" customFormat="1" x14ac:dyDescent="0.25"/>
    <row r="1378" s="1" customFormat="1" x14ac:dyDescent="0.25"/>
    <row r="1379" s="1" customFormat="1" x14ac:dyDescent="0.25"/>
    <row r="1380" s="1" customFormat="1" x14ac:dyDescent="0.25"/>
    <row r="1381" s="1" customFormat="1" x14ac:dyDescent="0.25"/>
    <row r="1382" s="1" customFormat="1" x14ac:dyDescent="0.25"/>
    <row r="1383" s="1" customFormat="1" x14ac:dyDescent="0.25"/>
    <row r="1384" s="1" customFormat="1" x14ac:dyDescent="0.25"/>
    <row r="1385" s="1" customFormat="1" x14ac:dyDescent="0.25"/>
    <row r="1386" s="1" customFormat="1" x14ac:dyDescent="0.25"/>
    <row r="1387" s="1" customFormat="1" x14ac:dyDescent="0.25"/>
    <row r="1388" s="1" customFormat="1" x14ac:dyDescent="0.25"/>
    <row r="1389" s="1" customFormat="1" x14ac:dyDescent="0.25"/>
    <row r="1390" s="1" customFormat="1" x14ac:dyDescent="0.25"/>
    <row r="1391" s="1" customFormat="1" x14ac:dyDescent="0.25"/>
    <row r="1392" s="1" customFormat="1" x14ac:dyDescent="0.25"/>
    <row r="1393" s="1" customFormat="1" x14ac:dyDescent="0.25"/>
    <row r="1394" s="1" customFormat="1" x14ac:dyDescent="0.25"/>
    <row r="1395" s="1" customFormat="1" x14ac:dyDescent="0.25"/>
    <row r="1396" s="1" customFormat="1" x14ac:dyDescent="0.25"/>
    <row r="1397" s="1" customFormat="1" x14ac:dyDescent="0.25"/>
    <row r="1398" s="1" customFormat="1" x14ac:dyDescent="0.25"/>
    <row r="1399" s="1" customFormat="1" x14ac:dyDescent="0.25"/>
    <row r="1400" s="1" customFormat="1" x14ac:dyDescent="0.25"/>
    <row r="1401" s="1" customFormat="1" x14ac:dyDescent="0.25"/>
    <row r="1402" s="1" customFormat="1" x14ac:dyDescent="0.25"/>
    <row r="1403" s="1" customFormat="1" x14ac:dyDescent="0.25"/>
    <row r="1404" s="1" customFormat="1" x14ac:dyDescent="0.25"/>
    <row r="1405" s="1" customFormat="1" x14ac:dyDescent="0.25"/>
    <row r="1406" s="1" customFormat="1" x14ac:dyDescent="0.25"/>
    <row r="1407" s="1" customFormat="1" x14ac:dyDescent="0.25"/>
    <row r="1408" s="1" customFormat="1" x14ac:dyDescent="0.25"/>
    <row r="1409" s="1" customFormat="1" x14ac:dyDescent="0.25"/>
    <row r="1410" s="1" customFormat="1" x14ac:dyDescent="0.25"/>
    <row r="1411" s="1" customFormat="1" x14ac:dyDescent="0.25"/>
    <row r="1412" s="1" customFormat="1" x14ac:dyDescent="0.25"/>
    <row r="1413" s="1" customFormat="1" x14ac:dyDescent="0.25"/>
    <row r="1414" s="1" customFormat="1" x14ac:dyDescent="0.25"/>
    <row r="1415" s="1" customFormat="1" x14ac:dyDescent="0.25"/>
    <row r="1416" s="1" customFormat="1" x14ac:dyDescent="0.25"/>
    <row r="1417" s="1" customFormat="1" x14ac:dyDescent="0.25"/>
    <row r="1418" s="1" customFormat="1" x14ac:dyDescent="0.25"/>
    <row r="1419" s="1" customFormat="1" x14ac:dyDescent="0.25"/>
    <row r="1420" s="1" customFormat="1" x14ac:dyDescent="0.25"/>
    <row r="1421" s="1" customFormat="1" x14ac:dyDescent="0.25"/>
    <row r="1422" s="1" customFormat="1" x14ac:dyDescent="0.25"/>
    <row r="1423" s="1" customFormat="1" x14ac:dyDescent="0.25"/>
    <row r="1424" s="1" customFormat="1" x14ac:dyDescent="0.25"/>
    <row r="1425" s="1" customFormat="1" x14ac:dyDescent="0.25"/>
    <row r="1426" s="1" customFormat="1" x14ac:dyDescent="0.25"/>
    <row r="1427" s="1" customFormat="1" x14ac:dyDescent="0.25"/>
    <row r="1428" s="1" customFormat="1" x14ac:dyDescent="0.25"/>
    <row r="1429" s="1" customFormat="1" x14ac:dyDescent="0.25"/>
    <row r="1430" s="1" customFormat="1" x14ac:dyDescent="0.25"/>
    <row r="1431" s="1" customFormat="1" x14ac:dyDescent="0.25"/>
    <row r="1432" s="1" customFormat="1" x14ac:dyDescent="0.25"/>
    <row r="1433" s="1" customFormat="1" x14ac:dyDescent="0.25"/>
    <row r="1434" s="1" customFormat="1" x14ac:dyDescent="0.25"/>
    <row r="1435" s="1" customFormat="1" x14ac:dyDescent="0.25"/>
    <row r="1436" s="1" customFormat="1" x14ac:dyDescent="0.25"/>
    <row r="1437" s="1" customFormat="1" x14ac:dyDescent="0.25"/>
    <row r="1438" s="1" customFormat="1" x14ac:dyDescent="0.25"/>
    <row r="1439" s="1" customFormat="1" x14ac:dyDescent="0.25"/>
    <row r="1440" s="1" customFormat="1" x14ac:dyDescent="0.25"/>
    <row r="1441" s="1" customFormat="1" x14ac:dyDescent="0.25"/>
    <row r="1442" s="1" customFormat="1" x14ac:dyDescent="0.25"/>
    <row r="1443" s="1" customFormat="1" x14ac:dyDescent="0.25"/>
    <row r="1444" s="1" customFormat="1" x14ac:dyDescent="0.25"/>
    <row r="1445" s="1" customFormat="1" x14ac:dyDescent="0.25"/>
    <row r="1446" s="1" customFormat="1" x14ac:dyDescent="0.25"/>
    <row r="1447" s="1" customFormat="1" x14ac:dyDescent="0.25"/>
    <row r="1448" s="1" customFormat="1" x14ac:dyDescent="0.25"/>
    <row r="1449" s="1" customFormat="1" x14ac:dyDescent="0.25"/>
    <row r="1450" s="1" customFormat="1" x14ac:dyDescent="0.25"/>
    <row r="1451" s="1" customFormat="1" x14ac:dyDescent="0.25"/>
    <row r="1452" s="1" customFormat="1" x14ac:dyDescent="0.25"/>
    <row r="1453" s="1" customFormat="1" x14ac:dyDescent="0.25"/>
    <row r="1454" s="1" customFormat="1" x14ac:dyDescent="0.25"/>
    <row r="1455" s="1" customFormat="1" x14ac:dyDescent="0.25"/>
    <row r="1456" s="1" customFormat="1" x14ac:dyDescent="0.25"/>
    <row r="1457" s="1" customFormat="1" x14ac:dyDescent="0.25"/>
    <row r="1458" s="1" customFormat="1" x14ac:dyDescent="0.25"/>
    <row r="1459" s="1" customFormat="1" x14ac:dyDescent="0.25"/>
    <row r="1460" s="1" customFormat="1" x14ac:dyDescent="0.25"/>
    <row r="1461" s="1" customFormat="1" x14ac:dyDescent="0.25"/>
    <row r="1462" s="1" customFormat="1" x14ac:dyDescent="0.25"/>
    <row r="1463" s="1" customFormat="1" x14ac:dyDescent="0.25"/>
    <row r="1464" s="1" customFormat="1" x14ac:dyDescent="0.25"/>
    <row r="1465" s="1" customFormat="1" x14ac:dyDescent="0.25"/>
    <row r="1466" s="1" customFormat="1" x14ac:dyDescent="0.25"/>
    <row r="1467" s="1" customFormat="1" x14ac:dyDescent="0.25"/>
    <row r="1468" s="1" customFormat="1" x14ac:dyDescent="0.25"/>
    <row r="1469" s="1" customFormat="1" x14ac:dyDescent="0.25"/>
    <row r="1470" s="1" customFormat="1" x14ac:dyDescent="0.25"/>
    <row r="1471" s="1" customFormat="1" x14ac:dyDescent="0.25"/>
    <row r="1472" s="1" customFormat="1" x14ac:dyDescent="0.25"/>
    <row r="1473" s="1" customFormat="1" x14ac:dyDescent="0.25"/>
    <row r="1474" s="1" customFormat="1" x14ac:dyDescent="0.25"/>
    <row r="1475" s="1" customFormat="1" x14ac:dyDescent="0.25"/>
    <row r="1476" s="1" customFormat="1" x14ac:dyDescent="0.25"/>
    <row r="1477" s="1" customFormat="1" x14ac:dyDescent="0.25"/>
    <row r="1478" s="1" customFormat="1" x14ac:dyDescent="0.25"/>
    <row r="1479" s="1" customFormat="1" x14ac:dyDescent="0.25"/>
    <row r="1480" s="1" customFormat="1" x14ac:dyDescent="0.25"/>
    <row r="1481" s="1" customFormat="1" x14ac:dyDescent="0.25"/>
    <row r="1482" s="1" customFormat="1" x14ac:dyDescent="0.25"/>
    <row r="1483" s="1" customFormat="1" x14ac:dyDescent="0.25"/>
    <row r="1484" s="1" customFormat="1" x14ac:dyDescent="0.25"/>
    <row r="1485" s="1" customFormat="1" x14ac:dyDescent="0.25"/>
    <row r="1486" s="1" customFormat="1" x14ac:dyDescent="0.25"/>
    <row r="1487" s="1" customFormat="1" x14ac:dyDescent="0.25"/>
    <row r="1488" s="1" customFormat="1" x14ac:dyDescent="0.25"/>
    <row r="1489" s="1" customFormat="1" x14ac:dyDescent="0.25"/>
    <row r="1490" s="1" customFormat="1" x14ac:dyDescent="0.25"/>
    <row r="1491" s="1" customFormat="1" x14ac:dyDescent="0.25"/>
    <row r="1492" s="1" customFormat="1" x14ac:dyDescent="0.25"/>
    <row r="1493" s="1" customFormat="1" x14ac:dyDescent="0.25"/>
    <row r="1494" s="1" customFormat="1" x14ac:dyDescent="0.25"/>
    <row r="1495" s="1" customFormat="1" x14ac:dyDescent="0.25"/>
    <row r="1496" s="1" customFormat="1" x14ac:dyDescent="0.25"/>
    <row r="1497" s="1" customFormat="1" x14ac:dyDescent="0.25"/>
    <row r="1498" s="1" customFormat="1" x14ac:dyDescent="0.25"/>
    <row r="1499" s="1" customFormat="1" x14ac:dyDescent="0.25"/>
    <row r="1500" s="1" customFormat="1" x14ac:dyDescent="0.25"/>
    <row r="1501" s="1" customFormat="1" x14ac:dyDescent="0.25"/>
    <row r="1502" s="1" customFormat="1" x14ac:dyDescent="0.25"/>
    <row r="1503" s="1" customFormat="1" x14ac:dyDescent="0.25"/>
    <row r="1504" s="1" customFormat="1" x14ac:dyDescent="0.25"/>
    <row r="1505" s="1" customFormat="1" x14ac:dyDescent="0.25"/>
    <row r="1506" s="1" customFormat="1" x14ac:dyDescent="0.25"/>
    <row r="1507" s="1" customFormat="1" x14ac:dyDescent="0.25"/>
    <row r="1508" s="1" customFormat="1" x14ac:dyDescent="0.25"/>
    <row r="1509" s="1" customFormat="1" x14ac:dyDescent="0.25"/>
    <row r="1510" s="1" customFormat="1" x14ac:dyDescent="0.25"/>
    <row r="1511" s="1" customFormat="1" x14ac:dyDescent="0.25"/>
    <row r="1512" s="1" customFormat="1" x14ac:dyDescent="0.25"/>
    <row r="1513" s="1" customFormat="1" x14ac:dyDescent="0.25"/>
    <row r="1514" s="1" customFormat="1" x14ac:dyDescent="0.25"/>
    <row r="1515" s="1" customFormat="1" x14ac:dyDescent="0.25"/>
    <row r="1516" s="1" customFormat="1" x14ac:dyDescent="0.25"/>
    <row r="1517" s="1" customFormat="1" x14ac:dyDescent="0.25"/>
    <row r="1518" s="1" customFormat="1" x14ac:dyDescent="0.25"/>
    <row r="1519" s="1" customFormat="1" x14ac:dyDescent="0.25"/>
    <row r="1520" s="1" customFormat="1" x14ac:dyDescent="0.25"/>
    <row r="1521" s="1" customFormat="1" x14ac:dyDescent="0.25"/>
    <row r="1522" s="1" customFormat="1" x14ac:dyDescent="0.25"/>
    <row r="1523" s="1" customFormat="1" x14ac:dyDescent="0.25"/>
    <row r="1524" s="1" customFormat="1" x14ac:dyDescent="0.25"/>
    <row r="1525" s="1" customFormat="1" x14ac:dyDescent="0.25"/>
    <row r="1526" s="1" customFormat="1" x14ac:dyDescent="0.25"/>
    <row r="1527" s="1" customFormat="1" x14ac:dyDescent="0.25"/>
    <row r="1528" s="1" customFormat="1" x14ac:dyDescent="0.25"/>
    <row r="1529" s="1" customFormat="1" x14ac:dyDescent="0.25"/>
    <row r="1530" s="1" customFormat="1" x14ac:dyDescent="0.25"/>
    <row r="1531" s="1" customFormat="1" x14ac:dyDescent="0.25"/>
    <row r="1532" s="1" customFormat="1" x14ac:dyDescent="0.25"/>
    <row r="1533" s="1" customFormat="1" x14ac:dyDescent="0.25"/>
    <row r="1534" s="1" customFormat="1" x14ac:dyDescent="0.25"/>
    <row r="1535" s="1" customFormat="1" x14ac:dyDescent="0.25"/>
    <row r="1536" s="1" customFormat="1" x14ac:dyDescent="0.25"/>
    <row r="1537" s="1" customFormat="1" x14ac:dyDescent="0.25"/>
    <row r="1538" s="1" customFormat="1" x14ac:dyDescent="0.25"/>
    <row r="1539" s="1" customFormat="1" x14ac:dyDescent="0.25"/>
    <row r="1540" s="1" customFormat="1" x14ac:dyDescent="0.25"/>
    <row r="1541" s="1" customFormat="1" x14ac:dyDescent="0.25"/>
    <row r="1542" s="1" customFormat="1" x14ac:dyDescent="0.25"/>
    <row r="1543" s="1" customFormat="1" x14ac:dyDescent="0.25"/>
    <row r="1544" s="1" customFormat="1" x14ac:dyDescent="0.25"/>
    <row r="1545" s="1" customFormat="1" x14ac:dyDescent="0.25"/>
    <row r="1546" s="1" customFormat="1" x14ac:dyDescent="0.25"/>
    <row r="1547" s="1" customFormat="1" x14ac:dyDescent="0.25"/>
    <row r="1548" s="1" customFormat="1" x14ac:dyDescent="0.25"/>
    <row r="1549" s="1" customFormat="1" x14ac:dyDescent="0.25"/>
    <row r="1550" s="1" customFormat="1" x14ac:dyDescent="0.25"/>
    <row r="1551" s="1" customFormat="1" x14ac:dyDescent="0.25"/>
    <row r="1552" s="1" customFormat="1" x14ac:dyDescent="0.25"/>
    <row r="1553" s="1" customFormat="1" x14ac:dyDescent="0.25"/>
    <row r="1554" s="1" customFormat="1" x14ac:dyDescent="0.25"/>
    <row r="1555" s="1" customFormat="1" x14ac:dyDescent="0.25"/>
    <row r="1556" s="1" customFormat="1" x14ac:dyDescent="0.25"/>
    <row r="1557" s="1" customFormat="1" x14ac:dyDescent="0.25"/>
    <row r="1558" s="1" customFormat="1" x14ac:dyDescent="0.25"/>
    <row r="1559" s="1" customFormat="1" x14ac:dyDescent="0.25"/>
    <row r="1560" s="1" customFormat="1" x14ac:dyDescent="0.25"/>
    <row r="1561" s="1" customFormat="1" x14ac:dyDescent="0.25"/>
    <row r="1562" s="1" customFormat="1" x14ac:dyDescent="0.25"/>
    <row r="1563" s="1" customFormat="1" x14ac:dyDescent="0.25"/>
    <row r="1564" s="1" customFormat="1" x14ac:dyDescent="0.25"/>
    <row r="1565" s="1" customFormat="1" x14ac:dyDescent="0.25"/>
    <row r="1566" s="1" customFormat="1" x14ac:dyDescent="0.25"/>
    <row r="1567" s="1" customFormat="1" x14ac:dyDescent="0.25"/>
    <row r="1568" s="1" customFormat="1" x14ac:dyDescent="0.25"/>
    <row r="1569" s="1" customFormat="1" x14ac:dyDescent="0.25"/>
    <row r="1570" s="1" customFormat="1" x14ac:dyDescent="0.25"/>
    <row r="1571" s="1" customFormat="1" x14ac:dyDescent="0.25"/>
    <row r="1572" s="1" customFormat="1" x14ac:dyDescent="0.25"/>
    <row r="1573" s="1" customFormat="1" x14ac:dyDescent="0.25"/>
    <row r="1574" s="1" customFormat="1" x14ac:dyDescent="0.25"/>
    <row r="1575" s="1" customFormat="1" x14ac:dyDescent="0.25"/>
    <row r="1576" s="1" customFormat="1" x14ac:dyDescent="0.25"/>
    <row r="1577" s="1" customFormat="1" x14ac:dyDescent="0.25"/>
    <row r="1578" s="1" customFormat="1" x14ac:dyDescent="0.25"/>
    <row r="1579" s="1" customFormat="1" x14ac:dyDescent="0.25"/>
    <row r="1580" s="1" customFormat="1" x14ac:dyDescent="0.25"/>
    <row r="1581" s="1" customFormat="1" x14ac:dyDescent="0.25"/>
    <row r="1582" s="1" customFormat="1" x14ac:dyDescent="0.25"/>
    <row r="1583" s="1" customFormat="1" x14ac:dyDescent="0.25"/>
    <row r="1584" s="1" customFormat="1" x14ac:dyDescent="0.25"/>
    <row r="1585" s="1" customFormat="1" x14ac:dyDescent="0.25"/>
    <row r="1586" s="1" customFormat="1" x14ac:dyDescent="0.25"/>
    <row r="1587" s="1" customFormat="1" x14ac:dyDescent="0.25"/>
    <row r="1588" s="1" customFormat="1" x14ac:dyDescent="0.25"/>
    <row r="1589" s="1" customFormat="1" x14ac:dyDescent="0.25"/>
    <row r="1590" s="1" customFormat="1" x14ac:dyDescent="0.25"/>
    <row r="1591" s="1" customFormat="1" x14ac:dyDescent="0.25"/>
    <row r="1592" s="1" customFormat="1" x14ac:dyDescent="0.25"/>
    <row r="1593" s="1" customFormat="1" x14ac:dyDescent="0.25"/>
    <row r="1594" s="1" customFormat="1" x14ac:dyDescent="0.25"/>
    <row r="1595" s="1" customFormat="1" x14ac:dyDescent="0.25"/>
    <row r="1596" s="1" customFormat="1" x14ac:dyDescent="0.25"/>
    <row r="1597" s="1" customFormat="1" x14ac:dyDescent="0.25"/>
    <row r="1598" s="1" customFormat="1" x14ac:dyDescent="0.25"/>
    <row r="1599" s="1" customFormat="1" x14ac:dyDescent="0.25"/>
    <row r="1600" s="1" customFormat="1" x14ac:dyDescent="0.25"/>
    <row r="1601" s="1" customFormat="1" x14ac:dyDescent="0.25"/>
    <row r="1602" s="1" customFormat="1" x14ac:dyDescent="0.25"/>
    <row r="1603" s="1" customFormat="1" x14ac:dyDescent="0.25"/>
    <row r="1604" s="1" customFormat="1" x14ac:dyDescent="0.25"/>
    <row r="1605" s="1" customFormat="1" x14ac:dyDescent="0.25"/>
    <row r="1606" s="1" customFormat="1" x14ac:dyDescent="0.25"/>
    <row r="1607" s="1" customFormat="1" x14ac:dyDescent="0.25"/>
    <row r="1608" s="1" customFormat="1" x14ac:dyDescent="0.25"/>
    <row r="1609" s="1" customFormat="1" x14ac:dyDescent="0.25"/>
    <row r="1610" s="1" customFormat="1" x14ac:dyDescent="0.25"/>
    <row r="1611" s="1" customFormat="1" x14ac:dyDescent="0.25"/>
    <row r="1612" s="1" customFormat="1" x14ac:dyDescent="0.25"/>
    <row r="1613" s="1" customFormat="1" x14ac:dyDescent="0.25"/>
    <row r="1614" s="1" customFormat="1" x14ac:dyDescent="0.25"/>
    <row r="1615" s="1" customFormat="1" x14ac:dyDescent="0.25"/>
    <row r="1616" s="1" customFormat="1" x14ac:dyDescent="0.25"/>
    <row r="1617" s="1" customFormat="1" x14ac:dyDescent="0.25"/>
    <row r="1618" s="1" customFormat="1" x14ac:dyDescent="0.25"/>
    <row r="1619" s="1" customFormat="1" x14ac:dyDescent="0.25"/>
    <row r="1620" s="1" customFormat="1" x14ac:dyDescent="0.25"/>
    <row r="1621" s="1" customFormat="1" x14ac:dyDescent="0.25"/>
    <row r="1622" s="1" customFormat="1" x14ac:dyDescent="0.25"/>
    <row r="1623" s="1" customFormat="1" x14ac:dyDescent="0.25"/>
    <row r="1624" s="1" customFormat="1" x14ac:dyDescent="0.25"/>
    <row r="1625" s="1" customFormat="1" x14ac:dyDescent="0.25"/>
    <row r="1626" s="1" customFormat="1" x14ac:dyDescent="0.25"/>
    <row r="1627" s="1" customFormat="1" x14ac:dyDescent="0.25"/>
    <row r="1628" s="1" customFormat="1" x14ac:dyDescent="0.25"/>
    <row r="1629" s="1" customFormat="1" x14ac:dyDescent="0.25"/>
    <row r="1630" s="1" customFormat="1" x14ac:dyDescent="0.25"/>
    <row r="1631" s="1" customFormat="1" x14ac:dyDescent="0.25"/>
    <row r="1632" s="1" customFormat="1" x14ac:dyDescent="0.25"/>
    <row r="1633" s="1" customFormat="1" x14ac:dyDescent="0.25"/>
    <row r="1634" s="1" customFormat="1" x14ac:dyDescent="0.25"/>
    <row r="1635" s="1" customFormat="1" x14ac:dyDescent="0.25"/>
    <row r="1636" s="1" customFormat="1" x14ac:dyDescent="0.25"/>
    <row r="1637" s="1" customFormat="1" x14ac:dyDescent="0.25"/>
    <row r="1638" s="1" customFormat="1" x14ac:dyDescent="0.25"/>
    <row r="1639" s="1" customFormat="1" x14ac:dyDescent="0.25"/>
    <row r="1640" s="1" customFormat="1" x14ac:dyDescent="0.25"/>
    <row r="1641" s="1" customFormat="1" x14ac:dyDescent="0.25"/>
    <row r="1642" s="1" customFormat="1" x14ac:dyDescent="0.25"/>
    <row r="1643" s="1" customFormat="1" x14ac:dyDescent="0.25"/>
    <row r="1644" s="1" customFormat="1" x14ac:dyDescent="0.25"/>
    <row r="1645" s="1" customFormat="1" x14ac:dyDescent="0.25"/>
    <row r="1646" s="1" customFormat="1" x14ac:dyDescent="0.25"/>
    <row r="1647" s="1" customFormat="1" x14ac:dyDescent="0.25"/>
    <row r="1648" s="1" customFormat="1" x14ac:dyDescent="0.25"/>
    <row r="1649" s="1" customFormat="1" x14ac:dyDescent="0.25"/>
    <row r="1650" s="1" customFormat="1" x14ac:dyDescent="0.25"/>
    <row r="1651" s="1" customFormat="1" x14ac:dyDescent="0.25"/>
    <row r="1652" s="1" customFormat="1" x14ac:dyDescent="0.25"/>
    <row r="1653" s="1" customFormat="1" x14ac:dyDescent="0.25"/>
    <row r="1654" s="1" customFormat="1" x14ac:dyDescent="0.25"/>
    <row r="1655" s="1" customFormat="1" x14ac:dyDescent="0.25"/>
    <row r="1656" s="1" customFormat="1" x14ac:dyDescent="0.25"/>
    <row r="1657" s="1" customFormat="1" x14ac:dyDescent="0.25"/>
    <row r="1658" s="1" customFormat="1" x14ac:dyDescent="0.25"/>
    <row r="1659" s="1" customFormat="1" x14ac:dyDescent="0.25"/>
    <row r="1660" s="1" customFormat="1" x14ac:dyDescent="0.25"/>
    <row r="1661" s="1" customFormat="1" x14ac:dyDescent="0.25"/>
    <row r="1662" s="1" customFormat="1" x14ac:dyDescent="0.25"/>
    <row r="1663" s="1" customFormat="1" x14ac:dyDescent="0.25"/>
    <row r="1664" s="1" customFormat="1" x14ac:dyDescent="0.25"/>
    <row r="1665" s="1" customFormat="1" x14ac:dyDescent="0.25"/>
    <row r="1666" s="1" customFormat="1" x14ac:dyDescent="0.25"/>
    <row r="1667" s="1" customFormat="1" x14ac:dyDescent="0.25"/>
    <row r="1668" s="1" customFormat="1" x14ac:dyDescent="0.25"/>
    <row r="1669" s="1" customFormat="1" x14ac:dyDescent="0.25"/>
    <row r="1670" s="1" customFormat="1" x14ac:dyDescent="0.25"/>
    <row r="1671" s="1" customFormat="1" x14ac:dyDescent="0.25"/>
    <row r="1672" s="1" customFormat="1" x14ac:dyDescent="0.25"/>
    <row r="1673" s="1" customFormat="1" x14ac:dyDescent="0.25"/>
    <row r="1674" s="1" customFormat="1" x14ac:dyDescent="0.25"/>
    <row r="1675" s="1" customFormat="1" x14ac:dyDescent="0.25"/>
    <row r="1676" s="1" customFormat="1" x14ac:dyDescent="0.25"/>
    <row r="1677" s="1" customFormat="1" x14ac:dyDescent="0.25"/>
    <row r="1678" s="1" customFormat="1" x14ac:dyDescent="0.25"/>
    <row r="1679" s="1" customFormat="1" x14ac:dyDescent="0.25"/>
    <row r="1680" s="1" customFormat="1" x14ac:dyDescent="0.25"/>
    <row r="1681" s="1" customFormat="1" x14ac:dyDescent="0.25"/>
    <row r="1682" s="1" customFormat="1" x14ac:dyDescent="0.25"/>
    <row r="1683" s="1" customFormat="1" x14ac:dyDescent="0.25"/>
    <row r="1684" s="1" customFormat="1" x14ac:dyDescent="0.25"/>
    <row r="1685" s="1" customFormat="1" x14ac:dyDescent="0.25"/>
    <row r="1686" s="1" customFormat="1" x14ac:dyDescent="0.25"/>
    <row r="1687" s="1" customFormat="1" x14ac:dyDescent="0.25"/>
    <row r="1688" s="1" customFormat="1" x14ac:dyDescent="0.25"/>
    <row r="1689" s="1" customFormat="1" x14ac:dyDescent="0.25"/>
    <row r="1690" s="1" customFormat="1" x14ac:dyDescent="0.25"/>
    <row r="1691" s="1" customFormat="1" x14ac:dyDescent="0.25"/>
    <row r="1692" s="1" customFormat="1" x14ac:dyDescent="0.25"/>
    <row r="1693" s="1" customFormat="1" x14ac:dyDescent="0.25"/>
    <row r="1694" s="1" customFormat="1" x14ac:dyDescent="0.25"/>
    <row r="1695" s="1" customFormat="1" x14ac:dyDescent="0.25"/>
    <row r="1696" s="1" customFormat="1" x14ac:dyDescent="0.25"/>
    <row r="1697" s="1" customFormat="1" x14ac:dyDescent="0.25"/>
    <row r="1698" s="1" customFormat="1" x14ac:dyDescent="0.25"/>
    <row r="1699" s="1" customFormat="1" x14ac:dyDescent="0.25"/>
    <row r="1700" s="1" customFormat="1" x14ac:dyDescent="0.25"/>
    <row r="1701" s="1" customFormat="1" x14ac:dyDescent="0.25"/>
    <row r="1702" s="1" customFormat="1" x14ac:dyDescent="0.25"/>
    <row r="1703" s="1" customFormat="1" x14ac:dyDescent="0.25"/>
    <row r="1704" s="1" customFormat="1" x14ac:dyDescent="0.25"/>
    <row r="1705" s="1" customFormat="1" x14ac:dyDescent="0.25"/>
    <row r="1706" s="1" customFormat="1" x14ac:dyDescent="0.25"/>
    <row r="1707" s="1" customFormat="1" x14ac:dyDescent="0.25"/>
    <row r="1708" s="1" customFormat="1" x14ac:dyDescent="0.25"/>
    <row r="1709" s="1" customFormat="1" x14ac:dyDescent="0.25"/>
    <row r="1710" s="1" customFormat="1" x14ac:dyDescent="0.25"/>
    <row r="1711" s="1" customFormat="1" x14ac:dyDescent="0.25"/>
    <row r="1712" s="1" customFormat="1" x14ac:dyDescent="0.25"/>
    <row r="1713" s="1" customFormat="1" x14ac:dyDescent="0.25"/>
    <row r="1714" s="1" customFormat="1" x14ac:dyDescent="0.25"/>
    <row r="1715" s="1" customFormat="1" x14ac:dyDescent="0.25"/>
    <row r="1716" s="1" customFormat="1" x14ac:dyDescent="0.25"/>
    <row r="1717" s="1" customFormat="1" x14ac:dyDescent="0.25"/>
    <row r="1718" s="1" customFormat="1" x14ac:dyDescent="0.25"/>
    <row r="1719" s="1" customFormat="1" x14ac:dyDescent="0.25"/>
    <row r="1720" s="1" customFormat="1" x14ac:dyDescent="0.25"/>
    <row r="1721" s="1" customFormat="1" x14ac:dyDescent="0.25"/>
    <row r="1722" s="1" customFormat="1" x14ac:dyDescent="0.25"/>
    <row r="1723" s="1" customFormat="1" x14ac:dyDescent="0.25"/>
    <row r="1724" s="1" customFormat="1" x14ac:dyDescent="0.25"/>
    <row r="1725" s="1" customFormat="1" x14ac:dyDescent="0.25"/>
    <row r="1726" s="1" customFormat="1" x14ac:dyDescent="0.25"/>
    <row r="1727" s="1" customFormat="1" x14ac:dyDescent="0.25"/>
    <row r="1728" s="1" customFormat="1" x14ac:dyDescent="0.25"/>
    <row r="1729" s="1" customFormat="1" x14ac:dyDescent="0.25"/>
    <row r="1730" s="1" customFormat="1" x14ac:dyDescent="0.25"/>
    <row r="1731" s="1" customFormat="1" x14ac:dyDescent="0.25"/>
    <row r="1732" s="1" customFormat="1" x14ac:dyDescent="0.25"/>
    <row r="1733" s="1" customFormat="1" x14ac:dyDescent="0.25"/>
    <row r="1734" s="1" customFormat="1" x14ac:dyDescent="0.25"/>
    <row r="1735" s="1" customFormat="1" x14ac:dyDescent="0.25"/>
    <row r="1736" s="1" customFormat="1" x14ac:dyDescent="0.25"/>
    <row r="1737" s="1" customFormat="1" x14ac:dyDescent="0.25"/>
    <row r="1738" s="1" customFormat="1" x14ac:dyDescent="0.25"/>
    <row r="1739" s="1" customFormat="1" x14ac:dyDescent="0.25"/>
    <row r="1740" s="1" customFormat="1" x14ac:dyDescent="0.25"/>
    <row r="1741" s="1" customFormat="1" x14ac:dyDescent="0.25"/>
    <row r="1742" s="1" customFormat="1" x14ac:dyDescent="0.25"/>
    <row r="1743" s="1" customFormat="1" x14ac:dyDescent="0.25"/>
    <row r="1744" s="1" customFormat="1" x14ac:dyDescent="0.25"/>
    <row r="1745" s="1" customFormat="1" x14ac:dyDescent="0.25"/>
    <row r="1746" s="1" customFormat="1" x14ac:dyDescent="0.25"/>
    <row r="1747" s="1" customFormat="1" x14ac:dyDescent="0.25"/>
    <row r="1748" s="1" customFormat="1" x14ac:dyDescent="0.25"/>
    <row r="1749" s="1" customFormat="1" x14ac:dyDescent="0.25"/>
    <row r="1750" s="1" customFormat="1" x14ac:dyDescent="0.25"/>
    <row r="1751" s="1" customFormat="1" x14ac:dyDescent="0.25"/>
    <row r="1752" s="1" customFormat="1" x14ac:dyDescent="0.25"/>
    <row r="1753" s="1" customFormat="1" x14ac:dyDescent="0.25"/>
    <row r="1754" s="1" customFormat="1" x14ac:dyDescent="0.25"/>
    <row r="1755" s="1" customFormat="1" x14ac:dyDescent="0.25"/>
    <row r="1756" s="1" customFormat="1" x14ac:dyDescent="0.25"/>
    <row r="1757" s="1" customFormat="1" x14ac:dyDescent="0.25"/>
    <row r="1758" s="1" customFormat="1" x14ac:dyDescent="0.25"/>
    <row r="1759" s="1" customFormat="1" x14ac:dyDescent="0.25"/>
    <row r="1760" s="1" customFormat="1" x14ac:dyDescent="0.25"/>
    <row r="1761" s="1" customFormat="1" x14ac:dyDescent="0.25"/>
    <row r="1762" s="1" customFormat="1" x14ac:dyDescent="0.25"/>
    <row r="1763" s="1" customFormat="1" x14ac:dyDescent="0.25"/>
    <row r="1764" s="1" customFormat="1" x14ac:dyDescent="0.25"/>
    <row r="1765" s="1" customFormat="1" x14ac:dyDescent="0.25"/>
    <row r="1766" s="1" customFormat="1" x14ac:dyDescent="0.25"/>
    <row r="1767" s="1" customFormat="1" x14ac:dyDescent="0.25"/>
    <row r="1768" s="1" customFormat="1" x14ac:dyDescent="0.25"/>
    <row r="1769" s="1" customFormat="1" x14ac:dyDescent="0.25"/>
    <row r="1770" s="1" customFormat="1" x14ac:dyDescent="0.25"/>
    <row r="1771" s="1" customFormat="1" x14ac:dyDescent="0.25"/>
    <row r="1772" s="1" customFormat="1" x14ac:dyDescent="0.25"/>
    <row r="1773" s="1" customFormat="1" x14ac:dyDescent="0.25"/>
    <row r="1774" s="1" customFormat="1" x14ac:dyDescent="0.25"/>
    <row r="1775" s="1" customFormat="1" x14ac:dyDescent="0.25"/>
    <row r="1776" s="1" customFormat="1" x14ac:dyDescent="0.25"/>
    <row r="1777" s="1" customFormat="1" x14ac:dyDescent="0.25"/>
    <row r="1778" s="1" customFormat="1" x14ac:dyDescent="0.25"/>
    <row r="1779" s="1" customFormat="1" x14ac:dyDescent="0.25"/>
    <row r="1780" s="1" customFormat="1" x14ac:dyDescent="0.25"/>
    <row r="1781" s="1" customFormat="1" x14ac:dyDescent="0.25"/>
    <row r="1782" s="1" customFormat="1" x14ac:dyDescent="0.25"/>
    <row r="1783" s="1" customFormat="1" x14ac:dyDescent="0.25"/>
    <row r="1784" s="1" customFormat="1" x14ac:dyDescent="0.25"/>
    <row r="1785" s="1" customFormat="1" x14ac:dyDescent="0.25"/>
    <row r="1786" s="1" customFormat="1" x14ac:dyDescent="0.25"/>
    <row r="1787" s="1" customFormat="1" x14ac:dyDescent="0.25"/>
    <row r="1788" s="1" customFormat="1" x14ac:dyDescent="0.25"/>
    <row r="1789" s="1" customFormat="1" x14ac:dyDescent="0.25"/>
    <row r="1790" s="1" customFormat="1" x14ac:dyDescent="0.25"/>
    <row r="1791" s="1" customFormat="1" x14ac:dyDescent="0.25"/>
    <row r="1792" s="1" customFormat="1" x14ac:dyDescent="0.25"/>
    <row r="1793" s="1" customFormat="1" x14ac:dyDescent="0.25"/>
    <row r="1794" s="1" customFormat="1" x14ac:dyDescent="0.25"/>
    <row r="1795" s="1" customFormat="1" x14ac:dyDescent="0.25"/>
    <row r="1796" s="1" customFormat="1" x14ac:dyDescent="0.25"/>
    <row r="1797" s="1" customFormat="1" x14ac:dyDescent="0.25"/>
    <row r="1798" s="1" customFormat="1" x14ac:dyDescent="0.25"/>
    <row r="1799" s="1" customFormat="1" x14ac:dyDescent="0.25"/>
    <row r="1800" s="1" customFormat="1" x14ac:dyDescent="0.25"/>
    <row r="1801" s="1" customFormat="1" x14ac:dyDescent="0.25"/>
    <row r="1802" s="1" customFormat="1" x14ac:dyDescent="0.25"/>
    <row r="1803" s="1" customFormat="1" x14ac:dyDescent="0.25"/>
    <row r="1804" s="1" customFormat="1" x14ac:dyDescent="0.25"/>
    <row r="1805" s="1" customFormat="1" x14ac:dyDescent="0.25"/>
    <row r="1806" s="1" customFormat="1" x14ac:dyDescent="0.25"/>
    <row r="1807" s="1" customFormat="1" x14ac:dyDescent="0.25"/>
    <row r="1808" s="1" customFormat="1" x14ac:dyDescent="0.25"/>
    <row r="1809" s="1" customFormat="1" x14ac:dyDescent="0.25"/>
    <row r="1810" s="1" customFormat="1" x14ac:dyDescent="0.25"/>
    <row r="1811" s="1" customFormat="1" x14ac:dyDescent="0.25"/>
    <row r="1812" s="1" customFormat="1" x14ac:dyDescent="0.25"/>
    <row r="1813" s="1" customFormat="1" x14ac:dyDescent="0.25"/>
    <row r="1814" s="1" customFormat="1" x14ac:dyDescent="0.25"/>
    <row r="1815" s="1" customFormat="1" x14ac:dyDescent="0.25"/>
    <row r="1816" s="1" customFormat="1" x14ac:dyDescent="0.25"/>
    <row r="1817" s="1" customFormat="1" x14ac:dyDescent="0.25"/>
    <row r="1818" s="1" customFormat="1" x14ac:dyDescent="0.25"/>
    <row r="1819" s="1" customFormat="1" x14ac:dyDescent="0.25"/>
    <row r="1820" s="1" customFormat="1" x14ac:dyDescent="0.25"/>
    <row r="1821" s="1" customFormat="1" x14ac:dyDescent="0.25"/>
    <row r="1822" s="1" customFormat="1" x14ac:dyDescent="0.25"/>
    <row r="1823" s="1" customFormat="1" x14ac:dyDescent="0.25"/>
    <row r="1824" s="1" customFormat="1" x14ac:dyDescent="0.25"/>
    <row r="1825" s="1" customFormat="1" x14ac:dyDescent="0.25"/>
    <row r="1826" s="1" customFormat="1" x14ac:dyDescent="0.25"/>
    <row r="1827" s="1" customFormat="1" x14ac:dyDescent="0.25"/>
    <row r="1828" s="1" customFormat="1" x14ac:dyDescent="0.25"/>
    <row r="1829" s="1" customFormat="1" x14ac:dyDescent="0.25"/>
    <row r="1830" s="1" customFormat="1" x14ac:dyDescent="0.25"/>
    <row r="1831" s="1" customFormat="1" x14ac:dyDescent="0.25"/>
    <row r="1832" s="1" customFormat="1" x14ac:dyDescent="0.25"/>
    <row r="1833" s="1" customFormat="1" x14ac:dyDescent="0.25"/>
    <row r="1834" s="1" customFormat="1" x14ac:dyDescent="0.25"/>
    <row r="1835" s="1" customFormat="1" x14ac:dyDescent="0.25"/>
    <row r="1836" s="1" customFormat="1" x14ac:dyDescent="0.25"/>
    <row r="1837" s="1" customFormat="1" x14ac:dyDescent="0.25"/>
    <row r="1838" s="1" customFormat="1" x14ac:dyDescent="0.25"/>
    <row r="1839" s="1" customFormat="1" x14ac:dyDescent="0.25"/>
    <row r="1840" s="1" customFormat="1" x14ac:dyDescent="0.25"/>
    <row r="1841" s="1" customFormat="1" x14ac:dyDescent="0.25"/>
    <row r="1842" s="1" customFormat="1" x14ac:dyDescent="0.25"/>
    <row r="1843" s="1" customFormat="1" x14ac:dyDescent="0.25"/>
    <row r="1844" s="1" customFormat="1" x14ac:dyDescent="0.25"/>
    <row r="1845" s="1" customFormat="1" x14ac:dyDescent="0.25"/>
    <row r="1846" s="1" customFormat="1" x14ac:dyDescent="0.25"/>
    <row r="1847" s="1" customFormat="1" x14ac:dyDescent="0.25"/>
    <row r="1848" s="1" customFormat="1" x14ac:dyDescent="0.25"/>
    <row r="1849" s="1" customFormat="1" x14ac:dyDescent="0.25"/>
    <row r="1850" s="1" customFormat="1" x14ac:dyDescent="0.25"/>
    <row r="1851" s="1" customFormat="1" x14ac:dyDescent="0.25"/>
    <row r="1852" s="1" customFormat="1" x14ac:dyDescent="0.25"/>
    <row r="1853" s="1" customFormat="1" x14ac:dyDescent="0.25"/>
    <row r="1854" s="1" customFormat="1" x14ac:dyDescent="0.25"/>
    <row r="1855" s="1" customFormat="1" x14ac:dyDescent="0.25"/>
    <row r="1856" s="1" customFormat="1" x14ac:dyDescent="0.25"/>
    <row r="1857" s="1" customFormat="1" x14ac:dyDescent="0.25"/>
    <row r="1858" s="1" customFormat="1" x14ac:dyDescent="0.25"/>
    <row r="1859" s="1" customFormat="1" x14ac:dyDescent="0.25"/>
    <row r="1860" s="1" customFormat="1" x14ac:dyDescent="0.25"/>
    <row r="1861" s="1" customFormat="1" x14ac:dyDescent="0.25"/>
    <row r="1862" s="1" customFormat="1" x14ac:dyDescent="0.25"/>
    <row r="1863" s="1" customFormat="1" x14ac:dyDescent="0.25"/>
    <row r="1864" s="1" customFormat="1" x14ac:dyDescent="0.25"/>
    <row r="1865" s="1" customFormat="1" x14ac:dyDescent="0.25"/>
    <row r="1866" s="1" customFormat="1" x14ac:dyDescent="0.25"/>
    <row r="1867" s="1" customFormat="1" x14ac:dyDescent="0.25"/>
    <row r="1868" s="1" customFormat="1" x14ac:dyDescent="0.25"/>
    <row r="1869" s="1" customFormat="1" x14ac:dyDescent="0.25"/>
    <row r="1870" s="1" customFormat="1" x14ac:dyDescent="0.25"/>
    <row r="1871" s="1" customFormat="1" x14ac:dyDescent="0.25"/>
    <row r="1872" s="1" customFormat="1" x14ac:dyDescent="0.25"/>
    <row r="1873" s="1" customFormat="1" x14ac:dyDescent="0.25"/>
    <row r="1874" s="1" customFormat="1" x14ac:dyDescent="0.25"/>
    <row r="1875" s="1" customFormat="1" x14ac:dyDescent="0.25"/>
    <row r="1876" s="1" customFormat="1" x14ac:dyDescent="0.25"/>
    <row r="1877" s="1" customFormat="1" x14ac:dyDescent="0.25"/>
    <row r="1878" s="1" customFormat="1" x14ac:dyDescent="0.25"/>
    <row r="1879" s="1" customFormat="1" x14ac:dyDescent="0.25"/>
    <row r="1880" s="1" customFormat="1" x14ac:dyDescent="0.25"/>
    <row r="1881" s="1" customFormat="1" x14ac:dyDescent="0.25"/>
    <row r="1882" s="1" customFormat="1" x14ac:dyDescent="0.25"/>
    <row r="1883" s="1" customFormat="1" x14ac:dyDescent="0.25"/>
    <row r="1884" s="1" customFormat="1" x14ac:dyDescent="0.25"/>
    <row r="1885" s="1" customFormat="1" x14ac:dyDescent="0.25"/>
    <row r="1886" s="1" customFormat="1" x14ac:dyDescent="0.25"/>
    <row r="1887" s="1" customFormat="1" x14ac:dyDescent="0.25"/>
    <row r="1888" s="1" customFormat="1" x14ac:dyDescent="0.25"/>
    <row r="1889" s="1" customFormat="1" x14ac:dyDescent="0.25"/>
    <row r="1890" s="1" customFormat="1" x14ac:dyDescent="0.25"/>
    <row r="1891" s="1" customFormat="1" x14ac:dyDescent="0.25"/>
    <row r="1892" s="1" customFormat="1" x14ac:dyDescent="0.25"/>
    <row r="1893" s="1" customFormat="1" x14ac:dyDescent="0.25"/>
    <row r="1894" s="1" customFormat="1" x14ac:dyDescent="0.25"/>
    <row r="1895" s="1" customFormat="1" x14ac:dyDescent="0.25"/>
    <row r="1896" s="1" customFormat="1" x14ac:dyDescent="0.25"/>
    <row r="1897" s="1" customFormat="1" x14ac:dyDescent="0.25"/>
    <row r="1898" s="1" customFormat="1" x14ac:dyDescent="0.25"/>
    <row r="1899" s="1" customFormat="1" x14ac:dyDescent="0.25"/>
    <row r="1900" s="1" customFormat="1" x14ac:dyDescent="0.25"/>
    <row r="1901" s="1" customFormat="1" x14ac:dyDescent="0.25"/>
    <row r="1902" s="1" customFormat="1" x14ac:dyDescent="0.25"/>
    <row r="1903" s="1" customFormat="1" x14ac:dyDescent="0.25"/>
    <row r="1904" s="1" customFormat="1" x14ac:dyDescent="0.25"/>
    <row r="1905" s="1" customFormat="1" x14ac:dyDescent="0.25"/>
    <row r="1906" s="1" customFormat="1" x14ac:dyDescent="0.25"/>
    <row r="1907" s="1" customFormat="1" x14ac:dyDescent="0.25"/>
    <row r="1908" s="1" customFormat="1" x14ac:dyDescent="0.25"/>
    <row r="1909" s="1" customFormat="1" x14ac:dyDescent="0.25"/>
    <row r="1910" s="1" customFormat="1" x14ac:dyDescent="0.25"/>
    <row r="1911" s="1" customFormat="1" x14ac:dyDescent="0.25"/>
    <row r="1912" s="1" customFormat="1" x14ac:dyDescent="0.25"/>
    <row r="1913" s="1" customFormat="1" x14ac:dyDescent="0.25"/>
    <row r="1914" s="1" customFormat="1" x14ac:dyDescent="0.25"/>
    <row r="1915" s="1" customFormat="1" x14ac:dyDescent="0.25"/>
    <row r="1916" s="1" customFormat="1" x14ac:dyDescent="0.25"/>
    <row r="1917" s="1" customFormat="1" x14ac:dyDescent="0.25"/>
    <row r="1918" s="1" customFormat="1" x14ac:dyDescent="0.25"/>
    <row r="1919" s="1" customFormat="1" x14ac:dyDescent="0.25"/>
    <row r="1920" s="1" customFormat="1" x14ac:dyDescent="0.25"/>
    <row r="1921" s="1" customFormat="1" x14ac:dyDescent="0.25"/>
    <row r="1922" s="1" customFormat="1" x14ac:dyDescent="0.25"/>
    <row r="1923" s="1" customFormat="1" x14ac:dyDescent="0.25"/>
    <row r="1924" s="1" customFormat="1" x14ac:dyDescent="0.25"/>
    <row r="1925" s="1" customFormat="1" x14ac:dyDescent="0.25"/>
    <row r="1926" s="1" customFormat="1" x14ac:dyDescent="0.25"/>
    <row r="1927" s="1" customFormat="1" x14ac:dyDescent="0.25"/>
    <row r="1928" s="1" customFormat="1" x14ac:dyDescent="0.25"/>
    <row r="1929" s="1" customFormat="1" x14ac:dyDescent="0.25"/>
    <row r="1930" s="1" customFormat="1" x14ac:dyDescent="0.25"/>
    <row r="1931" s="1" customFormat="1" x14ac:dyDescent="0.25"/>
    <row r="1932" s="1" customFormat="1" x14ac:dyDescent="0.25"/>
    <row r="1933" s="1" customFormat="1" x14ac:dyDescent="0.25"/>
    <row r="1934" s="1" customFormat="1" x14ac:dyDescent="0.25"/>
    <row r="1935" s="1" customFormat="1" x14ac:dyDescent="0.25"/>
    <row r="1936" s="1" customFormat="1" x14ac:dyDescent="0.25"/>
    <row r="1937" s="1" customFormat="1" x14ac:dyDescent="0.25"/>
    <row r="1938" s="1" customFormat="1" x14ac:dyDescent="0.25"/>
    <row r="1939" s="1" customFormat="1" x14ac:dyDescent="0.25"/>
    <row r="1940" s="1" customFormat="1" x14ac:dyDescent="0.25"/>
    <row r="1941" s="1" customFormat="1" x14ac:dyDescent="0.25"/>
    <row r="1942" s="1" customFormat="1" x14ac:dyDescent="0.25"/>
    <row r="1943" s="1" customFormat="1" x14ac:dyDescent="0.25"/>
    <row r="1944" s="1" customFormat="1" x14ac:dyDescent="0.25"/>
    <row r="1945" s="1" customFormat="1" x14ac:dyDescent="0.25"/>
    <row r="1946" s="1" customFormat="1" x14ac:dyDescent="0.25"/>
    <row r="1947" s="1" customFormat="1" x14ac:dyDescent="0.25"/>
    <row r="1948" s="1" customFormat="1" x14ac:dyDescent="0.25"/>
    <row r="1949" s="1" customFormat="1" x14ac:dyDescent="0.25"/>
    <row r="1950" s="1" customFormat="1" x14ac:dyDescent="0.25"/>
    <row r="1951" s="1" customFormat="1" x14ac:dyDescent="0.25"/>
    <row r="1952" s="1" customFormat="1" x14ac:dyDescent="0.25"/>
    <row r="1953" s="1" customFormat="1" x14ac:dyDescent="0.25"/>
    <row r="1954" s="1" customFormat="1" x14ac:dyDescent="0.25"/>
    <row r="1955" s="1" customFormat="1" x14ac:dyDescent="0.25"/>
    <row r="1956" s="1" customFormat="1" x14ac:dyDescent="0.25"/>
    <row r="1957" s="1" customFormat="1" x14ac:dyDescent="0.25"/>
    <row r="1958" s="1" customFormat="1" x14ac:dyDescent="0.25"/>
    <row r="1959" s="1" customFormat="1" x14ac:dyDescent="0.25"/>
    <row r="1960" s="1" customFormat="1" x14ac:dyDescent="0.25"/>
    <row r="1961" s="1" customFormat="1" x14ac:dyDescent="0.25"/>
    <row r="1962" s="1" customFormat="1" x14ac:dyDescent="0.25"/>
    <row r="1963" s="1" customFormat="1" x14ac:dyDescent="0.25"/>
    <row r="1964" s="1" customFormat="1" x14ac:dyDescent="0.25"/>
    <row r="1965" s="1" customFormat="1" x14ac:dyDescent="0.25"/>
    <row r="1966" s="1" customFormat="1" x14ac:dyDescent="0.25"/>
    <row r="1967" s="1" customFormat="1" x14ac:dyDescent="0.25"/>
    <row r="1968" s="1" customFormat="1" x14ac:dyDescent="0.25"/>
    <row r="1969" s="1" customFormat="1" x14ac:dyDescent="0.25"/>
    <row r="1970" s="1" customFormat="1" x14ac:dyDescent="0.25"/>
    <row r="1971" s="1" customFormat="1" x14ac:dyDescent="0.25"/>
    <row r="1972" s="1" customFormat="1" x14ac:dyDescent="0.25"/>
    <row r="1973" s="1" customFormat="1" x14ac:dyDescent="0.25"/>
    <row r="1974" s="1" customFormat="1" x14ac:dyDescent="0.25"/>
    <row r="1975" s="1" customFormat="1" x14ac:dyDescent="0.25"/>
    <row r="1976" s="1" customFormat="1" x14ac:dyDescent="0.25"/>
    <row r="1977" s="1" customFormat="1" x14ac:dyDescent="0.25"/>
    <row r="1978" s="1" customFormat="1" x14ac:dyDescent="0.25"/>
    <row r="1979" s="1" customFormat="1" x14ac:dyDescent="0.25"/>
    <row r="1980" s="1" customFormat="1" x14ac:dyDescent="0.25"/>
    <row r="1981" s="1" customFormat="1" x14ac:dyDescent="0.25"/>
    <row r="1982" s="1" customFormat="1" x14ac:dyDescent="0.25"/>
    <row r="1983" s="1" customFormat="1" x14ac:dyDescent="0.25"/>
    <row r="1984" s="1" customFormat="1" x14ac:dyDescent="0.25"/>
    <row r="1985" s="1" customFormat="1" x14ac:dyDescent="0.25"/>
    <row r="1986" s="1" customFormat="1" x14ac:dyDescent="0.25"/>
    <row r="1987" s="1" customFormat="1" x14ac:dyDescent="0.25"/>
    <row r="1988" s="1" customFormat="1" x14ac:dyDescent="0.25"/>
    <row r="1989" s="1" customFormat="1" x14ac:dyDescent="0.25"/>
    <row r="1990" s="1" customFormat="1" x14ac:dyDescent="0.25"/>
    <row r="1991" s="1" customFormat="1" x14ac:dyDescent="0.25"/>
    <row r="1992" s="1" customFormat="1" x14ac:dyDescent="0.25"/>
    <row r="1993" s="1" customFormat="1" x14ac:dyDescent="0.25"/>
    <row r="1994" s="1" customFormat="1" x14ac:dyDescent="0.25"/>
    <row r="1995" s="1" customFormat="1" x14ac:dyDescent="0.25"/>
    <row r="1996" s="1" customFormat="1" x14ac:dyDescent="0.25"/>
    <row r="1997" s="1" customFormat="1" x14ac:dyDescent="0.25"/>
    <row r="1998" s="1" customFormat="1" x14ac:dyDescent="0.25"/>
    <row r="1999" s="1" customFormat="1" x14ac:dyDescent="0.25"/>
    <row r="2000" s="1" customFormat="1" x14ac:dyDescent="0.25"/>
    <row r="2001" s="1" customFormat="1" x14ac:dyDescent="0.25"/>
    <row r="2002" s="1" customFormat="1" x14ac:dyDescent="0.25"/>
    <row r="2003" s="1" customFormat="1" x14ac:dyDescent="0.25"/>
    <row r="2004" s="1" customFormat="1" x14ac:dyDescent="0.25"/>
    <row r="2005" s="1" customFormat="1" x14ac:dyDescent="0.25"/>
    <row r="2006" s="1" customFormat="1" x14ac:dyDescent="0.25"/>
    <row r="2007" s="1" customFormat="1" x14ac:dyDescent="0.25"/>
    <row r="2008" s="1" customFormat="1" x14ac:dyDescent="0.25"/>
    <row r="2009" s="1" customFormat="1" x14ac:dyDescent="0.25"/>
    <row r="2010" s="1" customFormat="1" x14ac:dyDescent="0.25"/>
    <row r="2011" s="1" customFormat="1" x14ac:dyDescent="0.25"/>
    <row r="2012" s="1" customFormat="1" x14ac:dyDescent="0.25"/>
    <row r="2013" s="1" customFormat="1" x14ac:dyDescent="0.25"/>
    <row r="2014" s="1" customFormat="1" x14ac:dyDescent="0.25"/>
    <row r="2015" s="1" customFormat="1" x14ac:dyDescent="0.25"/>
    <row r="2016" s="1" customFormat="1" x14ac:dyDescent="0.25"/>
    <row r="2017" s="1" customFormat="1" x14ac:dyDescent="0.25"/>
    <row r="2018" s="1" customFormat="1" x14ac:dyDescent="0.25"/>
    <row r="2019" s="1" customFormat="1" x14ac:dyDescent="0.25"/>
    <row r="2020" s="1" customFormat="1" x14ac:dyDescent="0.25"/>
    <row r="2021" s="1" customFormat="1" x14ac:dyDescent="0.25"/>
    <row r="2022" s="1" customFormat="1" x14ac:dyDescent="0.25"/>
    <row r="2023" s="1" customFormat="1" x14ac:dyDescent="0.25"/>
    <row r="2024" s="1" customFormat="1" x14ac:dyDescent="0.25"/>
    <row r="2025" s="1" customFormat="1" x14ac:dyDescent="0.25"/>
    <row r="2026" s="1" customFormat="1" x14ac:dyDescent="0.25"/>
    <row r="2027" s="1" customFormat="1" x14ac:dyDescent="0.25"/>
    <row r="2028" s="1" customFormat="1" x14ac:dyDescent="0.25"/>
    <row r="2029" s="1" customFormat="1" x14ac:dyDescent="0.25"/>
    <row r="2030" s="1" customFormat="1" x14ac:dyDescent="0.25"/>
    <row r="2031" s="1" customFormat="1" x14ac:dyDescent="0.25"/>
    <row r="2032" s="1" customFormat="1" x14ac:dyDescent="0.25"/>
    <row r="2033" s="1" customFormat="1" x14ac:dyDescent="0.25"/>
    <row r="2034" s="1" customFormat="1" x14ac:dyDescent="0.25"/>
    <row r="2035" s="1" customFormat="1" x14ac:dyDescent="0.25"/>
    <row r="2036" s="1" customFormat="1" x14ac:dyDescent="0.25"/>
    <row r="2037" s="1" customFormat="1" x14ac:dyDescent="0.25"/>
    <row r="2038" s="1" customFormat="1" x14ac:dyDescent="0.25"/>
    <row r="2039" s="1" customFormat="1" x14ac:dyDescent="0.25"/>
    <row r="2040" s="1" customFormat="1" x14ac:dyDescent="0.25"/>
    <row r="2041" s="1" customFormat="1" x14ac:dyDescent="0.25"/>
    <row r="2042" s="1" customFormat="1" x14ac:dyDescent="0.25"/>
    <row r="2043" s="1" customFormat="1" x14ac:dyDescent="0.25"/>
    <row r="2044" s="1" customFormat="1" x14ac:dyDescent="0.25"/>
    <row r="2045" s="1" customFormat="1" x14ac:dyDescent="0.25"/>
    <row r="2046" s="1" customFormat="1" x14ac:dyDescent="0.25"/>
    <row r="2047" s="1" customFormat="1" x14ac:dyDescent="0.25"/>
    <row r="2048" s="1" customFormat="1" x14ac:dyDescent="0.25"/>
    <row r="2049" s="1" customFormat="1" x14ac:dyDescent="0.25"/>
    <row r="2050" s="1" customFormat="1" x14ac:dyDescent="0.25"/>
    <row r="2051" s="1" customFormat="1" x14ac:dyDescent="0.25"/>
    <row r="2052" s="1" customFormat="1" x14ac:dyDescent="0.25"/>
    <row r="2053" s="1" customFormat="1" x14ac:dyDescent="0.25"/>
    <row r="2054" s="1" customFormat="1" x14ac:dyDescent="0.25"/>
    <row r="2055" s="1" customFormat="1" x14ac:dyDescent="0.25"/>
    <row r="2056" s="1" customFormat="1" x14ac:dyDescent="0.25"/>
    <row r="2057" s="1" customFormat="1" x14ac:dyDescent="0.25"/>
    <row r="2058" s="1" customFormat="1" x14ac:dyDescent="0.25"/>
    <row r="2059" s="1" customFormat="1" x14ac:dyDescent="0.25"/>
    <row r="2060" s="1" customFormat="1" x14ac:dyDescent="0.25"/>
    <row r="2061" s="1" customFormat="1" x14ac:dyDescent="0.25"/>
    <row r="2062" s="1" customFormat="1" x14ac:dyDescent="0.25"/>
    <row r="2063" s="1" customFormat="1" x14ac:dyDescent="0.25"/>
    <row r="2064" s="1" customFormat="1" x14ac:dyDescent="0.25"/>
    <row r="2065" s="1" customFormat="1" x14ac:dyDescent="0.25"/>
    <row r="2066" s="1" customFormat="1" x14ac:dyDescent="0.25"/>
    <row r="2067" s="1" customFormat="1" x14ac:dyDescent="0.25"/>
    <row r="2068" s="1" customFormat="1" x14ac:dyDescent="0.25"/>
    <row r="2069" s="1" customFormat="1" x14ac:dyDescent="0.25"/>
    <row r="2070" s="1" customFormat="1" x14ac:dyDescent="0.25"/>
    <row r="2071" s="1" customFormat="1" x14ac:dyDescent="0.25"/>
    <row r="2072" s="1" customFormat="1" x14ac:dyDescent="0.25"/>
    <row r="2073" s="1" customFormat="1" x14ac:dyDescent="0.25"/>
    <row r="2074" s="1" customFormat="1" x14ac:dyDescent="0.25"/>
    <row r="2075" s="1" customFormat="1" x14ac:dyDescent="0.25"/>
    <row r="2076" s="1" customFormat="1" x14ac:dyDescent="0.25"/>
    <row r="2077" s="1" customFormat="1" x14ac:dyDescent="0.25"/>
    <row r="2078" s="1" customFormat="1" x14ac:dyDescent="0.25"/>
    <row r="2079" s="1" customFormat="1" x14ac:dyDescent="0.25"/>
    <row r="2080" s="1" customFormat="1" x14ac:dyDescent="0.25"/>
    <row r="2081" s="1" customFormat="1" x14ac:dyDescent="0.25"/>
    <row r="2082" s="1" customFormat="1" x14ac:dyDescent="0.25"/>
    <row r="2083" s="1" customFormat="1" x14ac:dyDescent="0.25"/>
    <row r="2084" s="1" customFormat="1" x14ac:dyDescent="0.25"/>
    <row r="2085" s="1" customFormat="1" x14ac:dyDescent="0.25"/>
    <row r="2086" s="1" customFormat="1" x14ac:dyDescent="0.25"/>
    <row r="2087" s="1" customFormat="1" x14ac:dyDescent="0.25"/>
    <row r="2088" s="1" customFormat="1" x14ac:dyDescent="0.25"/>
    <row r="2089" s="1" customFormat="1" x14ac:dyDescent="0.25"/>
    <row r="2090" s="1" customFormat="1" x14ac:dyDescent="0.25"/>
    <row r="2091" s="1" customFormat="1" x14ac:dyDescent="0.25"/>
    <row r="2092" s="1" customFormat="1" x14ac:dyDescent="0.25"/>
    <row r="2093" s="1" customFormat="1" x14ac:dyDescent="0.25"/>
    <row r="2094" s="1" customFormat="1" x14ac:dyDescent="0.25"/>
    <row r="2095" s="1" customFormat="1" x14ac:dyDescent="0.25"/>
    <row r="2096" s="1" customFormat="1" x14ac:dyDescent="0.25"/>
    <row r="2097" s="1" customFormat="1" x14ac:dyDescent="0.25"/>
    <row r="2098" s="1" customFormat="1" x14ac:dyDescent="0.25"/>
    <row r="2099" s="1" customFormat="1" x14ac:dyDescent="0.25"/>
    <row r="2100" s="1" customFormat="1" x14ac:dyDescent="0.25"/>
    <row r="2101" s="1" customFormat="1" x14ac:dyDescent="0.25"/>
    <row r="2102" s="1" customFormat="1" x14ac:dyDescent="0.25"/>
    <row r="2103" s="1" customFormat="1" x14ac:dyDescent="0.25"/>
    <row r="2104" s="1" customFormat="1" x14ac:dyDescent="0.25"/>
    <row r="2105" s="1" customFormat="1" x14ac:dyDescent="0.25"/>
    <row r="2106" s="1" customFormat="1" x14ac:dyDescent="0.25"/>
    <row r="2107" s="1" customFormat="1" x14ac:dyDescent="0.25"/>
    <row r="2108" s="1" customFormat="1" x14ac:dyDescent="0.25"/>
    <row r="2109" s="1" customFormat="1" x14ac:dyDescent="0.25"/>
    <row r="2110" s="1" customFormat="1" x14ac:dyDescent="0.25"/>
    <row r="2111" s="1" customFormat="1" x14ac:dyDescent="0.25"/>
    <row r="2112" s="1" customFormat="1" x14ac:dyDescent="0.25"/>
    <row r="2113" s="1" customFormat="1" x14ac:dyDescent="0.25"/>
    <row r="2114" s="1" customFormat="1" x14ac:dyDescent="0.25"/>
    <row r="2115" s="1" customFormat="1" x14ac:dyDescent="0.25"/>
    <row r="2116" s="1" customFormat="1" x14ac:dyDescent="0.25"/>
    <row r="2117" s="1" customFormat="1" x14ac:dyDescent="0.25"/>
    <row r="2118" s="1" customFormat="1" x14ac:dyDescent="0.25"/>
    <row r="2119" s="1" customFormat="1" x14ac:dyDescent="0.25"/>
    <row r="2120" s="1" customFormat="1" x14ac:dyDescent="0.25"/>
    <row r="2121" s="1" customFormat="1" x14ac:dyDescent="0.25"/>
    <row r="2122" s="1" customFormat="1" x14ac:dyDescent="0.25"/>
    <row r="2123" s="1" customFormat="1" x14ac:dyDescent="0.25"/>
    <row r="2124" s="1" customFormat="1" x14ac:dyDescent="0.25"/>
    <row r="2125" s="1" customFormat="1" x14ac:dyDescent="0.25"/>
    <row r="2126" s="1" customFormat="1" x14ac:dyDescent="0.25"/>
    <row r="2127" s="1" customFormat="1" x14ac:dyDescent="0.25"/>
    <row r="2128" s="1" customFormat="1" x14ac:dyDescent="0.25"/>
    <row r="2129" s="1" customFormat="1" x14ac:dyDescent="0.25"/>
    <row r="2130" s="1" customFormat="1" x14ac:dyDescent="0.25"/>
    <row r="2131" s="1" customFormat="1" x14ac:dyDescent="0.25"/>
    <row r="2132" s="1" customFormat="1" x14ac:dyDescent="0.25"/>
    <row r="2133" s="1" customFormat="1" x14ac:dyDescent="0.25"/>
    <row r="2134" s="1" customFormat="1" x14ac:dyDescent="0.25"/>
    <row r="2135" s="1" customFormat="1" x14ac:dyDescent="0.25"/>
    <row r="2136" s="1" customFormat="1" x14ac:dyDescent="0.25"/>
    <row r="2137" s="1" customFormat="1" x14ac:dyDescent="0.25"/>
    <row r="2138" s="1" customFormat="1" x14ac:dyDescent="0.25"/>
    <row r="2139" s="1" customFormat="1" x14ac:dyDescent="0.25"/>
    <row r="2140" s="1" customFormat="1" x14ac:dyDescent="0.25"/>
    <row r="2141" s="1" customFormat="1" x14ac:dyDescent="0.25"/>
    <row r="2142" s="1" customFormat="1" x14ac:dyDescent="0.25"/>
    <row r="2143" s="1" customFormat="1" x14ac:dyDescent="0.25"/>
    <row r="2144" s="1" customFormat="1" x14ac:dyDescent="0.25"/>
    <row r="2145" s="1" customFormat="1" x14ac:dyDescent="0.25"/>
    <row r="2146" s="1" customFormat="1" x14ac:dyDescent="0.25"/>
    <row r="2147" s="1" customFormat="1" x14ac:dyDescent="0.25"/>
    <row r="2148" s="1" customFormat="1" x14ac:dyDescent="0.25"/>
    <row r="2149" s="1" customFormat="1" x14ac:dyDescent="0.25"/>
    <row r="2150" s="1" customFormat="1" x14ac:dyDescent="0.25"/>
    <row r="2151" s="1" customFormat="1" x14ac:dyDescent="0.25"/>
    <row r="2152" s="1" customFormat="1" x14ac:dyDescent="0.25"/>
    <row r="2153" s="1" customFormat="1" x14ac:dyDescent="0.25"/>
    <row r="2154" s="1" customFormat="1" x14ac:dyDescent="0.25"/>
    <row r="2155" s="1" customFormat="1" x14ac:dyDescent="0.25"/>
    <row r="2156" s="1" customFormat="1" x14ac:dyDescent="0.25"/>
    <row r="2157" s="1" customFormat="1" x14ac:dyDescent="0.25"/>
    <row r="2158" s="1" customFormat="1" x14ac:dyDescent="0.25"/>
    <row r="2159" s="1" customFormat="1" x14ac:dyDescent="0.25"/>
    <row r="2160" s="1" customFormat="1" x14ac:dyDescent="0.25"/>
    <row r="2161" s="1" customFormat="1" x14ac:dyDescent="0.25"/>
    <row r="2162" s="1" customFormat="1" x14ac:dyDescent="0.25"/>
    <row r="2163" s="1" customFormat="1" x14ac:dyDescent="0.25"/>
    <row r="2164" s="1" customFormat="1" x14ac:dyDescent="0.25"/>
    <row r="2165" s="1" customFormat="1" x14ac:dyDescent="0.25"/>
    <row r="2166" s="1" customFormat="1" x14ac:dyDescent="0.25"/>
    <row r="2167" s="1" customFormat="1" x14ac:dyDescent="0.25"/>
    <row r="2168" s="1" customFormat="1" x14ac:dyDescent="0.25"/>
    <row r="2169" s="1" customFormat="1" x14ac:dyDescent="0.25"/>
    <row r="2170" s="1" customFormat="1" x14ac:dyDescent="0.25"/>
    <row r="2171" s="1" customFormat="1" x14ac:dyDescent="0.25"/>
    <row r="2172" s="1" customFormat="1" x14ac:dyDescent="0.25"/>
    <row r="2173" s="1" customFormat="1" x14ac:dyDescent="0.25"/>
    <row r="2174" s="1" customFormat="1" x14ac:dyDescent="0.25"/>
    <row r="2175" s="1" customFormat="1" x14ac:dyDescent="0.25"/>
    <row r="2176" s="1" customFormat="1" x14ac:dyDescent="0.25"/>
    <row r="2177" s="1" customFormat="1" x14ac:dyDescent="0.25"/>
    <row r="2178" s="1" customFormat="1" x14ac:dyDescent="0.25"/>
    <row r="2179" s="1" customFormat="1" x14ac:dyDescent="0.25"/>
    <row r="2180" s="1" customFormat="1" x14ac:dyDescent="0.25"/>
    <row r="2181" s="1" customFormat="1" x14ac:dyDescent="0.25"/>
    <row r="2182" s="1" customFormat="1" x14ac:dyDescent="0.25"/>
    <row r="2183" s="1" customFormat="1" x14ac:dyDescent="0.25"/>
    <row r="2184" s="1" customFormat="1" x14ac:dyDescent="0.25"/>
    <row r="2185" s="1" customFormat="1" x14ac:dyDescent="0.25"/>
    <row r="2186" s="1" customFormat="1" x14ac:dyDescent="0.25"/>
    <row r="2187" s="1" customFormat="1" x14ac:dyDescent="0.25"/>
    <row r="2188" s="1" customFormat="1" x14ac:dyDescent="0.25"/>
    <row r="2189" s="1" customFormat="1" x14ac:dyDescent="0.25"/>
    <row r="2190" s="1" customFormat="1" x14ac:dyDescent="0.25"/>
    <row r="2191" s="1" customFormat="1" x14ac:dyDescent="0.25"/>
    <row r="2192" s="1" customFormat="1" x14ac:dyDescent="0.25"/>
    <row r="2193" s="1" customFormat="1" x14ac:dyDescent="0.25"/>
    <row r="2194" s="1" customFormat="1" x14ac:dyDescent="0.25"/>
    <row r="2195" s="1" customFormat="1" x14ac:dyDescent="0.25"/>
    <row r="2196" s="1" customFormat="1" x14ac:dyDescent="0.25"/>
    <row r="2197" s="1" customFormat="1" x14ac:dyDescent="0.25"/>
    <row r="2198" s="1" customFormat="1" x14ac:dyDescent="0.25"/>
    <row r="2199" s="1" customFormat="1" x14ac:dyDescent="0.25"/>
    <row r="2200" s="1" customFormat="1" x14ac:dyDescent="0.25"/>
    <row r="2201" s="1" customFormat="1" x14ac:dyDescent="0.25"/>
    <row r="2202" s="1" customFormat="1" x14ac:dyDescent="0.25"/>
    <row r="2203" s="1" customFormat="1" x14ac:dyDescent="0.25"/>
    <row r="2204" s="1" customFormat="1" x14ac:dyDescent="0.25"/>
    <row r="2205" s="1" customFormat="1" x14ac:dyDescent="0.25"/>
    <row r="2206" s="1" customFormat="1" x14ac:dyDescent="0.25"/>
    <row r="2207" s="1" customFormat="1" x14ac:dyDescent="0.25"/>
    <row r="2208" s="1" customFormat="1" x14ac:dyDescent="0.25"/>
    <row r="2209" s="1" customFormat="1" x14ac:dyDescent="0.25"/>
    <row r="2210" s="1" customFormat="1" x14ac:dyDescent="0.25"/>
    <row r="2211" s="1" customFormat="1" x14ac:dyDescent="0.25"/>
    <row r="2212" s="1" customFormat="1" x14ac:dyDescent="0.25"/>
    <row r="2213" s="1" customFormat="1" x14ac:dyDescent="0.25"/>
    <row r="2214" s="1" customFormat="1" x14ac:dyDescent="0.25"/>
    <row r="2215" s="1" customFormat="1" x14ac:dyDescent="0.25"/>
    <row r="2216" s="1" customFormat="1" x14ac:dyDescent="0.25"/>
    <row r="2217" s="1" customFormat="1" x14ac:dyDescent="0.25"/>
    <row r="2218" s="1" customFormat="1" x14ac:dyDescent="0.25"/>
    <row r="2219" s="1" customFormat="1" x14ac:dyDescent="0.25"/>
    <row r="2220" s="1" customFormat="1" x14ac:dyDescent="0.25"/>
    <row r="2221" s="1" customFormat="1" x14ac:dyDescent="0.25"/>
    <row r="2222" s="1" customFormat="1" x14ac:dyDescent="0.25"/>
    <row r="2223" s="1" customFormat="1" x14ac:dyDescent="0.25"/>
    <row r="2224" s="1" customFormat="1" x14ac:dyDescent="0.25"/>
    <row r="2225" s="1" customFormat="1" x14ac:dyDescent="0.25"/>
    <row r="2226" s="1" customFormat="1" x14ac:dyDescent="0.25"/>
    <row r="2227" s="1" customFormat="1" x14ac:dyDescent="0.25"/>
    <row r="2228" s="1" customFormat="1" x14ac:dyDescent="0.25"/>
    <row r="2229" s="1" customFormat="1" x14ac:dyDescent="0.25"/>
    <row r="2230" s="1" customFormat="1" x14ac:dyDescent="0.25"/>
    <row r="2231" s="1" customFormat="1" x14ac:dyDescent="0.25"/>
    <row r="2232" s="1" customFormat="1" x14ac:dyDescent="0.25"/>
    <row r="2233" s="1" customFormat="1" x14ac:dyDescent="0.25"/>
    <row r="2234" s="1" customFormat="1" x14ac:dyDescent="0.25"/>
    <row r="2235" s="1" customFormat="1" x14ac:dyDescent="0.25"/>
    <row r="2236" s="1" customFormat="1" x14ac:dyDescent="0.25"/>
    <row r="2237" s="1" customFormat="1" x14ac:dyDescent="0.25"/>
    <row r="2238" s="1" customFormat="1" x14ac:dyDescent="0.25"/>
    <row r="2239" s="1" customFormat="1" x14ac:dyDescent="0.25"/>
    <row r="2240" s="1" customFormat="1" x14ac:dyDescent="0.25"/>
    <row r="2241" s="1" customFormat="1" x14ac:dyDescent="0.25"/>
    <row r="2242" s="1" customFormat="1" x14ac:dyDescent="0.25"/>
    <row r="2243" s="1" customFormat="1" x14ac:dyDescent="0.25"/>
    <row r="2244" s="1" customFormat="1" x14ac:dyDescent="0.25"/>
    <row r="2245" s="1" customFormat="1" x14ac:dyDescent="0.25"/>
    <row r="2246" s="1" customFormat="1" x14ac:dyDescent="0.25"/>
    <row r="2247" s="1" customFormat="1" x14ac:dyDescent="0.25"/>
    <row r="2248" s="1" customFormat="1" x14ac:dyDescent="0.25"/>
    <row r="2249" s="1" customFormat="1" x14ac:dyDescent="0.25"/>
    <row r="2250" s="1" customFormat="1" x14ac:dyDescent="0.25"/>
    <row r="2251" s="1" customFormat="1" x14ac:dyDescent="0.25"/>
    <row r="2252" s="1" customFormat="1" x14ac:dyDescent="0.25"/>
    <row r="2253" s="1" customFormat="1" x14ac:dyDescent="0.25"/>
    <row r="2254" s="1" customFormat="1" x14ac:dyDescent="0.25"/>
    <row r="2255" s="1" customFormat="1" x14ac:dyDescent="0.25"/>
    <row r="2256" s="1" customFormat="1" x14ac:dyDescent="0.25"/>
    <row r="2257" s="1" customFormat="1" x14ac:dyDescent="0.25"/>
    <row r="2258" s="1" customFormat="1" x14ac:dyDescent="0.25"/>
    <row r="2259" s="1" customFormat="1" x14ac:dyDescent="0.25"/>
    <row r="2260" s="1" customFormat="1" x14ac:dyDescent="0.25"/>
    <row r="2261" s="1" customFormat="1" x14ac:dyDescent="0.25"/>
    <row r="2262" s="1" customFormat="1" x14ac:dyDescent="0.25"/>
    <row r="2263" s="1" customFormat="1" x14ac:dyDescent="0.25"/>
    <row r="2264" s="1" customFormat="1" x14ac:dyDescent="0.25"/>
    <row r="2265" s="1" customFormat="1" x14ac:dyDescent="0.25"/>
    <row r="2266" s="1" customFormat="1" x14ac:dyDescent="0.25"/>
    <row r="2267" s="1" customFormat="1" x14ac:dyDescent="0.25"/>
    <row r="2268" s="1" customFormat="1" x14ac:dyDescent="0.25"/>
    <row r="2269" s="1" customFormat="1" x14ac:dyDescent="0.25"/>
    <row r="2270" s="1" customFormat="1" x14ac:dyDescent="0.25"/>
    <row r="2271" s="1" customFormat="1" x14ac:dyDescent="0.25"/>
    <row r="2272" s="1" customFormat="1" x14ac:dyDescent="0.25"/>
    <row r="2273" s="1" customFormat="1" x14ac:dyDescent="0.25"/>
    <row r="2274" s="1" customFormat="1" x14ac:dyDescent="0.25"/>
    <row r="2275" s="1" customFormat="1" x14ac:dyDescent="0.25"/>
    <row r="2276" s="1" customFormat="1" x14ac:dyDescent="0.25"/>
    <row r="2277" s="1" customFormat="1" x14ac:dyDescent="0.25"/>
    <row r="2278" s="1" customFormat="1" x14ac:dyDescent="0.25"/>
    <row r="2279" s="1" customFormat="1" x14ac:dyDescent="0.25"/>
    <row r="2280" s="1" customFormat="1" x14ac:dyDescent="0.25"/>
    <row r="2281" s="1" customFormat="1" x14ac:dyDescent="0.25"/>
    <row r="2282" s="1" customFormat="1" x14ac:dyDescent="0.25"/>
    <row r="2283" s="1" customFormat="1" x14ac:dyDescent="0.25"/>
    <row r="2284" s="1" customFormat="1" x14ac:dyDescent="0.25"/>
    <row r="2285" s="1" customFormat="1" x14ac:dyDescent="0.25"/>
    <row r="2286" s="1" customFormat="1" x14ac:dyDescent="0.25"/>
    <row r="2287" s="1" customFormat="1" x14ac:dyDescent="0.25"/>
    <row r="2288" s="1" customFormat="1" x14ac:dyDescent="0.25"/>
    <row r="2289" s="1" customFormat="1" x14ac:dyDescent="0.25"/>
    <row r="2290" s="1" customFormat="1" x14ac:dyDescent="0.25"/>
    <row r="2291" s="1" customFormat="1" x14ac:dyDescent="0.25"/>
    <row r="2292" s="1" customFormat="1" x14ac:dyDescent="0.25"/>
    <row r="2293" s="1" customFormat="1" x14ac:dyDescent="0.25"/>
    <row r="2294" s="1" customFormat="1" x14ac:dyDescent="0.25"/>
    <row r="2295" s="1" customFormat="1" x14ac:dyDescent="0.25"/>
    <row r="2296" s="1" customFormat="1" x14ac:dyDescent="0.25"/>
    <row r="2297" s="1" customFormat="1" x14ac:dyDescent="0.25"/>
    <row r="2298" s="1" customFormat="1" x14ac:dyDescent="0.25"/>
    <row r="2299" s="1" customFormat="1" x14ac:dyDescent="0.25"/>
    <row r="2300" s="1" customFormat="1" x14ac:dyDescent="0.25"/>
    <row r="2301" s="1" customFormat="1" x14ac:dyDescent="0.25"/>
    <row r="2302" s="1" customFormat="1" x14ac:dyDescent="0.25"/>
    <row r="2303" s="1" customFormat="1" x14ac:dyDescent="0.25"/>
    <row r="2304" s="1" customFormat="1" x14ac:dyDescent="0.25"/>
    <row r="2305" s="1" customFormat="1" x14ac:dyDescent="0.25"/>
    <row r="2306" s="1" customFormat="1" x14ac:dyDescent="0.25"/>
    <row r="2307" s="1" customFormat="1" x14ac:dyDescent="0.25"/>
    <row r="2308" s="1" customFormat="1" x14ac:dyDescent="0.25"/>
    <row r="2309" s="1" customFormat="1" x14ac:dyDescent="0.25"/>
    <row r="2310" s="1" customFormat="1" x14ac:dyDescent="0.25"/>
    <row r="2311" s="1" customFormat="1" x14ac:dyDescent="0.25"/>
    <row r="2312" s="1" customFormat="1" x14ac:dyDescent="0.25"/>
    <row r="2313" s="1" customFormat="1" x14ac:dyDescent="0.25"/>
    <row r="2314" s="1" customFormat="1" x14ac:dyDescent="0.25"/>
    <row r="2315" s="1" customFormat="1" x14ac:dyDescent="0.25"/>
    <row r="2316" s="1" customFormat="1" x14ac:dyDescent="0.25"/>
    <row r="2317" s="1" customFormat="1" x14ac:dyDescent="0.25"/>
    <row r="2318" s="1" customFormat="1" x14ac:dyDescent="0.25"/>
    <row r="2319" s="1" customFormat="1" x14ac:dyDescent="0.25"/>
    <row r="2320" s="1" customFormat="1" x14ac:dyDescent="0.25"/>
    <row r="2321" s="1" customFormat="1" x14ac:dyDescent="0.25"/>
    <row r="2322" s="1" customFormat="1" x14ac:dyDescent="0.25"/>
    <row r="2323" s="1" customFormat="1" x14ac:dyDescent="0.25"/>
    <row r="2324" s="1" customFormat="1" x14ac:dyDescent="0.25"/>
    <row r="2325" s="1" customFormat="1" x14ac:dyDescent="0.25"/>
    <row r="2326" s="1" customFormat="1" x14ac:dyDescent="0.25"/>
    <row r="2327" s="1" customFormat="1" x14ac:dyDescent="0.25"/>
    <row r="2328" s="1" customFormat="1" x14ac:dyDescent="0.25"/>
    <row r="2329" s="1" customFormat="1" x14ac:dyDescent="0.25"/>
    <row r="2330" s="1" customFormat="1" x14ac:dyDescent="0.25"/>
    <row r="2331" s="1" customFormat="1" x14ac:dyDescent="0.25"/>
    <row r="2332" s="1" customFormat="1" x14ac:dyDescent="0.25"/>
    <row r="2333" s="1" customFormat="1" x14ac:dyDescent="0.25"/>
    <row r="2334" s="1" customFormat="1" x14ac:dyDescent="0.25"/>
    <row r="2335" s="1" customFormat="1" x14ac:dyDescent="0.25"/>
    <row r="2336" s="1" customFormat="1" x14ac:dyDescent="0.25"/>
    <row r="2337" s="1" customFormat="1" x14ac:dyDescent="0.25"/>
    <row r="2338" s="1" customFormat="1" x14ac:dyDescent="0.25"/>
    <row r="2339" s="1" customFormat="1" x14ac:dyDescent="0.25"/>
    <row r="2340" s="1" customFormat="1" x14ac:dyDescent="0.25"/>
  </sheetData>
  <sheetProtection algorithmName="SHA-512" hashValue="SAt7vM5dUxeB07G6CrTO13Hto8mX+niRhJL4CfOltyKem6oOXvHnO+aKxeDw6sacuLKsvpvXaZQKhFHnH45Tcw==" saltValue="qIZgcrHLmiIQD2aoc3Ypbg==" spinCount="100000" sheet="1" objects="1" scenarios="1"/>
  <mergeCells count="95">
    <mergeCell ref="F120:F121"/>
    <mergeCell ref="A113:H113"/>
    <mergeCell ref="B114:E114"/>
    <mergeCell ref="F116:F117"/>
    <mergeCell ref="G116:G117"/>
    <mergeCell ref="F118:F119"/>
    <mergeCell ref="G118:G119"/>
    <mergeCell ref="F111:F112"/>
    <mergeCell ref="F103:F104"/>
    <mergeCell ref="B105:E105"/>
    <mergeCell ref="F107:F108"/>
    <mergeCell ref="G107:G108"/>
    <mergeCell ref="F109:F110"/>
    <mergeCell ref="G109:G110"/>
    <mergeCell ref="A96:H96"/>
    <mergeCell ref="B97:E97"/>
    <mergeCell ref="F99:F100"/>
    <mergeCell ref="G99:G100"/>
    <mergeCell ref="F101:F102"/>
    <mergeCell ref="G101:G102"/>
    <mergeCell ref="A5:H5"/>
    <mergeCell ref="A6:H6"/>
    <mergeCell ref="A7:B7"/>
    <mergeCell ref="A14:B14"/>
    <mergeCell ref="A1:E1"/>
    <mergeCell ref="A3:H3"/>
    <mergeCell ref="A4:H4"/>
    <mergeCell ref="A23:H23"/>
    <mergeCell ref="F26:F27"/>
    <mergeCell ref="G26:G27"/>
    <mergeCell ref="F28:F29"/>
    <mergeCell ref="G28:G29"/>
    <mergeCell ref="F47:F48"/>
    <mergeCell ref="B24:E24"/>
    <mergeCell ref="B32:E32"/>
    <mergeCell ref="B41:E41"/>
    <mergeCell ref="B49:E49"/>
    <mergeCell ref="F38:F39"/>
    <mergeCell ref="A40:H40"/>
    <mergeCell ref="F43:F44"/>
    <mergeCell ref="G43:G44"/>
    <mergeCell ref="F45:F46"/>
    <mergeCell ref="G45:G46"/>
    <mergeCell ref="F30:F31"/>
    <mergeCell ref="F34:F35"/>
    <mergeCell ref="G34:G35"/>
    <mergeCell ref="F36:F37"/>
    <mergeCell ref="G36:G37"/>
    <mergeCell ref="F51:F52"/>
    <mergeCell ref="G51:G52"/>
    <mergeCell ref="F53:F54"/>
    <mergeCell ref="G53:G54"/>
    <mergeCell ref="F55:F56"/>
    <mergeCell ref="F65:F66"/>
    <mergeCell ref="G65:G66"/>
    <mergeCell ref="F67:F68"/>
    <mergeCell ref="A57:H57"/>
    <mergeCell ref="A58:H58"/>
    <mergeCell ref="A60:H60"/>
    <mergeCell ref="B61:E61"/>
    <mergeCell ref="F63:F64"/>
    <mergeCell ref="G63:G64"/>
    <mergeCell ref="B69:E69"/>
    <mergeCell ref="F71:F72"/>
    <mergeCell ref="G71:G72"/>
    <mergeCell ref="F73:F74"/>
    <mergeCell ref="G73:G74"/>
    <mergeCell ref="F82:F83"/>
    <mergeCell ref="G82:G83"/>
    <mergeCell ref="F84:F85"/>
    <mergeCell ref="B86:E86"/>
    <mergeCell ref="F75:F76"/>
    <mergeCell ref="A77:H77"/>
    <mergeCell ref="B78:E78"/>
    <mergeCell ref="F80:F81"/>
    <mergeCell ref="G80:G81"/>
    <mergeCell ref="A94:H94"/>
    <mergeCell ref="A95:H95"/>
    <mergeCell ref="F88:F89"/>
    <mergeCell ref="G88:G89"/>
    <mergeCell ref="F90:F91"/>
    <mergeCell ref="G90:G91"/>
    <mergeCell ref="F92:F93"/>
    <mergeCell ref="B122:E122"/>
    <mergeCell ref="F124:F125"/>
    <mergeCell ref="G124:G125"/>
    <mergeCell ref="F126:F127"/>
    <mergeCell ref="G126:G127"/>
    <mergeCell ref="A134:H134"/>
    <mergeCell ref="A135:H135"/>
    <mergeCell ref="F128:F129"/>
    <mergeCell ref="A130:H130"/>
    <mergeCell ref="A131:H131"/>
    <mergeCell ref="A132:H132"/>
    <mergeCell ref="A133:H133"/>
  </mergeCells>
  <dataValidations count="3">
    <dataValidation type="list" allowBlank="1" showInputMessage="1" showErrorMessage="1" sqref="B19:B20 B16:B17 B12:B13 B8:B10" xr:uid="{13B0269C-62A9-4FDF-805F-82643729649B}">
      <formula1>$N$2:$N$13</formula1>
    </dataValidation>
    <dataValidation type="list" allowBlank="1" showInputMessage="1" showErrorMessage="1" sqref="B11 B18" xr:uid="{F35855EB-553A-425F-9F0A-7402830BAB7B}">
      <formula1>$M$2:$M$14</formula1>
    </dataValidation>
    <dataValidation type="list" allowBlank="1" showInputMessage="1" showErrorMessage="1" sqref="B15" xr:uid="{A253CAB5-F77A-47F0-B158-1044CFE73CCD}">
      <formula1>$O$2:$O$16</formula1>
    </dataValidation>
  </dataValidations>
  <hyperlinks>
    <hyperlink ref="A8" r:id="rId1" xr:uid="{BCA9ACDA-A1DA-4765-90DE-B9EA5FCF010C}"/>
    <hyperlink ref="A9" r:id="rId2" xr:uid="{A2743E93-E6C0-4410-BD69-9A62E4CCFC34}"/>
    <hyperlink ref="A10" r:id="rId3" display="Tractions australienne" xr:uid="{76AFA756-4987-4A74-B4BB-E36346756B06}"/>
    <hyperlink ref="A11" r:id="rId4" xr:uid="{2BDB005A-060D-4979-AE90-8AA8C9DC499C}"/>
    <hyperlink ref="A12" r:id="rId5" xr:uid="{DB32F539-9D2B-4BC2-9DAC-57891CB0FB98}"/>
    <hyperlink ref="A13" r:id="rId6" xr:uid="{A72798A9-2126-45DF-BC97-AC39E09F1152}"/>
    <hyperlink ref="A15" r:id="rId7" xr:uid="{E958498D-D455-48A9-A48B-B231BF0EE1DA}"/>
    <hyperlink ref="A16" r:id="rId8" xr:uid="{19692416-91E6-4699-894B-A471A434AA12}"/>
    <hyperlink ref="A17" r:id="rId9" xr:uid="{C59E3069-6B27-47D6-BDAB-CC81096BE34D}"/>
    <hyperlink ref="A19" r:id="rId10" display="Relevé de jambes suspendu ou au sol" xr:uid="{C6FA15BF-524D-4A7F-866A-41AEEC1718D3}"/>
    <hyperlink ref="A20" r:id="rId11" xr:uid="{BF6BA7C3-98FC-4DBD-96F5-DF5545407FC2}"/>
    <hyperlink ref="A18" r:id="rId12" display="Mollets debout 1 jambe à la fois" xr:uid="{3B1B6EFD-1561-4C55-A153-7B6513BFF6AC}"/>
    <hyperlink ref="A26" r:id="rId13" xr:uid="{78E8D5B0-F162-4287-85AA-6ECD1A91DC10}"/>
    <hyperlink ref="A27" r:id="rId14" xr:uid="{0D1FFF7A-F0B0-48BF-8123-53E746C18ECB}"/>
    <hyperlink ref="A28" r:id="rId15" display="Tractions australienne" xr:uid="{97BB6461-D203-4482-93C0-012462505995}"/>
    <hyperlink ref="A29" r:id="rId16" xr:uid="{A4645F8A-0166-4471-AD88-3544187C194E}"/>
    <hyperlink ref="A30" r:id="rId17" xr:uid="{7397D272-9CAA-4FAD-A07E-CE05E178DE7F}"/>
    <hyperlink ref="A31" r:id="rId18" xr:uid="{30B102D6-EBD5-4C0B-BBF8-C358C91B33EC}"/>
    <hyperlink ref="A34" r:id="rId19" xr:uid="{1BE48BD4-6D75-463D-996A-0E35AE844509}"/>
    <hyperlink ref="A35" r:id="rId20" xr:uid="{073AC242-1E62-429C-B2AE-5530ED07886C}"/>
    <hyperlink ref="A36" r:id="rId21" xr:uid="{F093AAC7-D501-4C08-9923-1864F88086D4}"/>
    <hyperlink ref="A38" r:id="rId22" display="Relevé de jambes suspendu ou au sol" xr:uid="{8C6476AD-BFE0-4DFE-8C77-1761CAADF17D}"/>
    <hyperlink ref="A39" r:id="rId23" xr:uid="{876FC235-36E0-4D4E-B65C-39F54034F9F0}"/>
    <hyperlink ref="A37" r:id="rId24" display="Mollets debout 1 jambe à la fois" xr:uid="{7D03C26A-EDC8-404F-82F6-92681752F85A}"/>
    <hyperlink ref="A43" r:id="rId25" xr:uid="{C207044C-2E31-4F8F-ADAB-F67D324069B9}"/>
    <hyperlink ref="A44" r:id="rId26" xr:uid="{76421DEC-8669-4D8F-8FB6-2070B0D98E02}"/>
    <hyperlink ref="A45" r:id="rId27" xr:uid="{CB9008C5-AAD3-49EB-AD3E-1EA122FE4BAD}"/>
    <hyperlink ref="A46" r:id="rId28" display="Tractions australienne" xr:uid="{FF8F2E7E-BB2C-44A3-BEC6-8C16334A1494}"/>
    <hyperlink ref="A47" r:id="rId29" xr:uid="{D3BBAA60-BF33-4101-8840-492103231A22}"/>
    <hyperlink ref="A48" r:id="rId30" xr:uid="{E19122D2-4B52-4F35-8986-EBDBCB7540A4}"/>
    <hyperlink ref="B24" r:id="rId31" xr:uid="{EE2B6F22-BC97-427E-8662-FEE60EF740D5}"/>
    <hyperlink ref="B32" r:id="rId32" xr:uid="{48BF5DB2-7070-4B8E-9ED5-9912574C4F99}"/>
    <hyperlink ref="B41" r:id="rId33" xr:uid="{3E36EAE6-5E7C-4F1D-80AF-E23A73C9F057}"/>
    <hyperlink ref="B49" r:id="rId34" xr:uid="{A6BC6F89-DD11-4673-A6AE-DDFB257582B2}"/>
    <hyperlink ref="A51" r:id="rId35" xr:uid="{F6AB6A0A-E8EE-46AC-B9CC-1FDC9FFE6619}"/>
    <hyperlink ref="A53" r:id="rId36" xr:uid="{5AC472E5-614B-4093-B7F6-F2675BA00C9D}"/>
    <hyperlink ref="A55" r:id="rId37" display="Relevé de jambes suspendu ou au sol" xr:uid="{A211BF58-1861-418C-AD00-5A2E33030CF0}"/>
    <hyperlink ref="A56" r:id="rId38" xr:uid="{4F9378ED-19F9-4760-A855-9B8C99A0B29B}"/>
    <hyperlink ref="A54" r:id="rId39" display="Mollets debout 1 jambe à la fois" xr:uid="{CA87619C-313C-4818-B93A-99626D69D453}"/>
    <hyperlink ref="B61" r:id="rId40" xr:uid="{E94B244F-9052-4243-B46E-302D174FCD31}"/>
    <hyperlink ref="A63" r:id="rId41" xr:uid="{BEA3CF41-AA32-48A2-A069-A9E3F51D5F15}"/>
    <hyperlink ref="A64" r:id="rId42" xr:uid="{F9C59753-809B-4D57-BE70-90DED8C3BC5D}"/>
    <hyperlink ref="A65" r:id="rId43" display="Tractions australienne" xr:uid="{2A390A5A-1065-417E-AA50-092F1188B71C}"/>
    <hyperlink ref="A66" r:id="rId44" xr:uid="{AA26243F-F0AF-418B-87AD-C1AB94255C5F}"/>
    <hyperlink ref="A67" r:id="rId45" xr:uid="{75B50F17-FA41-4BE9-A56F-2DDAF96C50C0}"/>
    <hyperlink ref="A68" r:id="rId46" xr:uid="{E23F34B2-D0DC-4013-B4A9-1E07A1BF9B87}"/>
    <hyperlink ref="H27" r:id="rId47" display="https://youtu.be/Ocg8wyTciVc?si=LWyXVbYtDjva6wt2" xr:uid="{0B1F6232-7EA3-4E4F-881B-723D7CE73631}"/>
    <hyperlink ref="H43" r:id="rId48" display="https://youtu.be/Ocg8wyTciVc?si=LWyXVbYtDjva6wt2" xr:uid="{03DA0C54-548B-40CD-ADFF-E1D2371BB525}"/>
    <hyperlink ref="H64" r:id="rId49" display="https://youtu.be/Ocg8wyTciVc?si=LWyXVbYtDjva6wt2" xr:uid="{C3E01922-9B64-4003-A852-534161189BC9}"/>
    <hyperlink ref="H24" r:id="rId50" xr:uid="{D493F62C-4329-43C9-AE3E-184D394E01A2}"/>
    <hyperlink ref="H41" r:id="rId51" xr:uid="{09DEC6EC-510A-499F-82AD-0DCBDB2D1C92}"/>
    <hyperlink ref="H49" r:id="rId52" xr:uid="{48832B65-35F3-403E-B72E-DA9286DA55D1}"/>
    <hyperlink ref="H61" r:id="rId53" xr:uid="{424454B3-51EA-4040-BA1F-B8E52523A266}"/>
    <hyperlink ref="H32" r:id="rId54" xr:uid="{99CEF8C7-8843-4785-B367-48EC15BF7196}"/>
    <hyperlink ref="A71" r:id="rId55" xr:uid="{33290AC5-5C5D-4A52-8B9B-FDD83FBDF216}"/>
    <hyperlink ref="A72" r:id="rId56" xr:uid="{C56B2B06-BFCB-4C9B-85A9-C43B9052AE78}"/>
    <hyperlink ref="A73" r:id="rId57" xr:uid="{EB00A459-3DE9-48D6-A253-5D13F331BF5A}"/>
    <hyperlink ref="A75" r:id="rId58" display="Relevé de jambes suspendu ou au sol" xr:uid="{FFC9A6F9-2FFF-4EAF-AEF5-98D5249BA3F1}"/>
    <hyperlink ref="A76" r:id="rId59" xr:uid="{4E7BDA9B-4AAB-4B1B-B94E-BD1B3077AC5B}"/>
    <hyperlink ref="A74" r:id="rId60" display="Mollets debout 1 jambe à la fois" xr:uid="{C0CCFC6E-04A3-42D4-BBF8-7A0E1F410162}"/>
    <hyperlink ref="B69" r:id="rId61" xr:uid="{F92E2CD0-6670-40F8-94B8-FE1ADC1D6DCE}"/>
    <hyperlink ref="H69" r:id="rId62" xr:uid="{12A64F21-093A-4C49-A03C-A2A635267D45}"/>
    <hyperlink ref="A80" r:id="rId63" xr:uid="{0C08E326-BD56-4F1B-B916-03DE49257A2E}"/>
    <hyperlink ref="A81" r:id="rId64" xr:uid="{EB29E7D5-3EE5-4C7A-8965-E4DEFA445436}"/>
    <hyperlink ref="A82" r:id="rId65" xr:uid="{3C64CA06-0618-4041-9D71-1ACF36576D96}"/>
    <hyperlink ref="A83" r:id="rId66" display="Tractions australienne" xr:uid="{0BF38151-296A-4F34-A1AB-B41FDB3AEC24}"/>
    <hyperlink ref="A84" r:id="rId67" xr:uid="{F685C76F-7878-4B3B-9A75-7765BFCD1E7E}"/>
    <hyperlink ref="A85" r:id="rId68" xr:uid="{74CBB577-598C-4C27-B192-784D7CFF3B02}"/>
    <hyperlink ref="B78" r:id="rId69" xr:uid="{2DBBD317-BADA-4002-81C4-4AF9BD53A3B3}"/>
    <hyperlink ref="H78" r:id="rId70" xr:uid="{0471BFF5-24E6-454B-8A6C-2535D04FD041}"/>
    <hyperlink ref="B86" r:id="rId71" xr:uid="{0D85CFC8-094F-4B9F-8958-35F32CA0189F}"/>
    <hyperlink ref="A88" r:id="rId72" xr:uid="{5C344312-BB61-4018-8C3B-E1BA4C917624}"/>
    <hyperlink ref="A89" r:id="rId73" xr:uid="{189627F5-79E4-4F54-B672-4E45386D5126}"/>
    <hyperlink ref="A90" r:id="rId74" xr:uid="{BA27C366-CE86-4CBB-9F4A-701DBD9D4A07}"/>
    <hyperlink ref="A92" r:id="rId75" display="Relevé de jambes suspendu ou au sol" xr:uid="{219C44EB-DE3C-463F-B5D4-9C9D590F5235}"/>
    <hyperlink ref="A93" r:id="rId76" xr:uid="{6C2F7161-A88B-40ED-938F-0E9520922DBB}"/>
    <hyperlink ref="A91" r:id="rId77" display="Mollets debout 1 jambe à la fois" xr:uid="{5BD14AA5-FA31-4207-A757-090CF11C93AD}"/>
    <hyperlink ref="H86" r:id="rId78" xr:uid="{8BC0C9AE-D9CB-46F2-9C1A-0C6101A2BD83}"/>
    <hyperlink ref="H97" r:id="rId79" xr:uid="{938D2E98-8B4F-437C-A3D0-B2B43BE0FC8D}"/>
    <hyperlink ref="A99" r:id="rId80" xr:uid="{15177AB0-A677-4BA8-92DC-DA83917791C8}"/>
    <hyperlink ref="A100" r:id="rId81" xr:uid="{0BDAF431-7FFF-4B73-88D6-4341A8D511CE}"/>
    <hyperlink ref="A101" r:id="rId82" display="Tractions australienne" xr:uid="{4602A166-280A-408D-8AD9-FBBB7B81AEE9}"/>
    <hyperlink ref="A102" r:id="rId83" xr:uid="{9AEF5740-E0DF-442D-8AF3-28BE31C195DA}"/>
    <hyperlink ref="A103" r:id="rId84" xr:uid="{A55AA36B-5225-4D49-BE17-FF9FD0605290}"/>
    <hyperlink ref="A104" r:id="rId85" xr:uid="{AAFCE87B-FB0C-412D-A005-D75C74C2D852}"/>
    <hyperlink ref="A107" r:id="rId86" xr:uid="{F99ED868-E7F3-43D5-8A28-76BBF649B92E}"/>
    <hyperlink ref="A108" r:id="rId87" xr:uid="{3CE5FCFA-B028-41A9-9A93-513610171098}"/>
    <hyperlink ref="A109" r:id="rId88" xr:uid="{5E79509E-7E02-4E3F-A306-D1EED8D02F5D}"/>
    <hyperlink ref="A111" r:id="rId89" display="Relevé de jambes suspendu ou au sol" xr:uid="{5EFF6209-06D0-42CB-A0BC-0E0A76E7B0B4}"/>
    <hyperlink ref="A112" r:id="rId90" xr:uid="{46755D17-29B5-4C01-88EA-681FDEC0D147}"/>
    <hyperlink ref="A110" r:id="rId91" display="Mollets debout 1 jambe à la fois" xr:uid="{CC91588B-267D-4BB5-BFB9-CA0F84562AA6}"/>
    <hyperlink ref="B105" r:id="rId92" xr:uid="{6480440A-FA31-4450-BB38-8DD8FFD3AC10}"/>
    <hyperlink ref="H105" r:id="rId93" xr:uid="{6735AD4B-D260-4484-A519-BD083E9F4EA0}"/>
    <hyperlink ref="B97" r:id="rId94" xr:uid="{7442EBF2-5B18-4FF0-8319-22EA33180DF7}"/>
    <hyperlink ref="A116" r:id="rId95" xr:uid="{82CFB1BE-61F3-41FC-A732-3DC4AD2F7A84}"/>
    <hyperlink ref="A117" r:id="rId96" xr:uid="{6EE75EAB-428E-4239-9541-C3DEA0F504C4}"/>
    <hyperlink ref="A118" r:id="rId97" xr:uid="{AC290FA6-AE68-4D83-BDE3-EAD74B208F44}"/>
    <hyperlink ref="A119" r:id="rId98" display="Tractions australienne" xr:uid="{00633A4C-2455-4535-8B06-6D522AC5B6A8}"/>
    <hyperlink ref="A120" r:id="rId99" xr:uid="{53CA0CA1-BA91-4903-A63F-FB85976837EB}"/>
    <hyperlink ref="A121" r:id="rId100" xr:uid="{D47BC4EB-6AF0-4613-9B5B-D291481BA90F}"/>
    <hyperlink ref="B114" r:id="rId101" xr:uid="{7C7927E0-CFF7-4DE4-85AE-FAD469138E51}"/>
    <hyperlink ref="H114" r:id="rId102" xr:uid="{7C14A278-47B7-4700-888C-06C4DAB87167}"/>
    <hyperlink ref="A52" r:id="rId103" xr:uid="{6C0173D8-FD6C-4F14-9C9D-1D3D791CE1E4}"/>
    <hyperlink ref="A124" r:id="rId104" xr:uid="{9851FB04-9BD0-4124-BC90-F9C5CB54A516}"/>
    <hyperlink ref="A125" r:id="rId105" xr:uid="{4FC1D5F7-9B43-448D-B2DD-07144321850F}"/>
    <hyperlink ref="A126" r:id="rId106" xr:uid="{C977EC9A-A1A1-4E48-BCE4-A4E0DE430A18}"/>
    <hyperlink ref="A128" r:id="rId107" display="Relevé de jambes suspendu ou au sol" xr:uid="{FA8C3056-9F80-4FF2-A7EA-D56F0DDBAD06}"/>
    <hyperlink ref="A129" r:id="rId108" xr:uid="{9B0CB094-DF45-458D-82F9-D937AF0532F2}"/>
    <hyperlink ref="A127" r:id="rId109" display="Mollets debout 1 jambe à la fois" xr:uid="{81B48F5A-F646-42E0-8F2A-A6BD7EFE0664}"/>
    <hyperlink ref="B122" r:id="rId110" xr:uid="{8305A086-D847-46CD-8D3B-9ADBF7F5B862}"/>
    <hyperlink ref="H122" r:id="rId111" xr:uid="{5BBD3181-F787-4594-9D98-C7412D7FF32E}"/>
  </hyperlinks>
  <pageMargins left="0.7" right="0.7" top="0.75" bottom="0.75" header="0.3" footer="0.3"/>
  <pageSetup paperSize="9" orientation="portrait" verticalDpi="0" r:id="rId112"/>
  <drawing r:id="rId1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14B56-4E07-49DE-853C-9895C7E84D4C}">
  <dimension ref="A1:P127"/>
  <sheetViews>
    <sheetView workbookViewId="0">
      <selection activeCell="B9" sqref="B9"/>
    </sheetView>
  </sheetViews>
  <sheetFormatPr baseColWidth="10" defaultRowHeight="15" x14ac:dyDescent="0.25"/>
  <cols>
    <col min="1" max="1" width="66" style="1" customWidth="1"/>
    <col min="2" max="2" width="18.140625" style="1" bestFit="1" customWidth="1"/>
    <col min="3" max="3" width="11.42578125" style="1"/>
    <col min="4" max="4" width="37.5703125" style="1" customWidth="1"/>
    <col min="5" max="5" width="32.140625" style="1" bestFit="1" customWidth="1"/>
    <col min="6" max="6" width="11.28515625" style="1" bestFit="1" customWidth="1"/>
    <col min="7" max="7" width="14.28515625" style="1" bestFit="1" customWidth="1"/>
    <col min="8" max="8" width="58" style="1" bestFit="1" customWidth="1"/>
    <col min="9" max="12" width="11.42578125" style="1"/>
    <col min="13" max="13" width="17.28515625" style="1" hidden="1" customWidth="1"/>
    <col min="14" max="15" width="0" style="1" hidden="1" customWidth="1"/>
    <col min="16" max="16384" width="11.42578125" style="1"/>
  </cols>
  <sheetData>
    <row r="1" spans="1:16" ht="15.75" x14ac:dyDescent="0.25">
      <c r="A1" s="106" t="s">
        <v>391</v>
      </c>
      <c r="B1" s="106"/>
      <c r="C1" s="106"/>
      <c r="D1" s="106"/>
      <c r="E1" s="106"/>
      <c r="M1" s="62" t="s">
        <v>147</v>
      </c>
      <c r="N1" s="62" t="s">
        <v>8</v>
      </c>
      <c r="O1" s="62" t="s">
        <v>9</v>
      </c>
    </row>
    <row r="2" spans="1:16" x14ac:dyDescent="0.25">
      <c r="A2" s="80" t="s">
        <v>381</v>
      </c>
      <c r="B2" s="80"/>
      <c r="C2" s="80"/>
      <c r="D2" s="177"/>
      <c r="E2" s="177"/>
      <c r="F2" s="177"/>
      <c r="G2" s="177"/>
      <c r="H2" s="177"/>
      <c r="I2" s="177"/>
      <c r="J2" s="177"/>
      <c r="K2" s="177"/>
      <c r="L2" s="177"/>
      <c r="M2" s="62"/>
      <c r="N2" s="62"/>
      <c r="O2" s="62"/>
      <c r="P2" s="177"/>
    </row>
    <row r="3" spans="1:16" x14ac:dyDescent="0.25">
      <c r="A3" s="241" t="s">
        <v>398</v>
      </c>
      <c r="B3" s="241"/>
      <c r="C3" s="241"/>
      <c r="D3" s="262"/>
      <c r="E3" s="262"/>
      <c r="F3" s="262"/>
      <c r="G3" s="262"/>
      <c r="H3" s="262"/>
      <c r="I3" s="262"/>
      <c r="J3" s="177"/>
      <c r="K3" s="177"/>
      <c r="L3" s="177"/>
      <c r="M3" s="62" t="s">
        <v>10</v>
      </c>
      <c r="N3" s="62" t="s">
        <v>22</v>
      </c>
      <c r="O3" s="99" t="s">
        <v>29</v>
      </c>
      <c r="P3" s="177"/>
    </row>
    <row r="4" spans="1:16" x14ac:dyDescent="0.25">
      <c r="A4" s="211" t="s">
        <v>285</v>
      </c>
      <c r="B4" s="211"/>
      <c r="C4" s="211"/>
      <c r="D4" s="177"/>
      <c r="E4" s="177"/>
      <c r="F4" s="177"/>
      <c r="G4" s="177"/>
      <c r="H4" s="177"/>
      <c r="I4" s="177"/>
      <c r="J4" s="177"/>
      <c r="K4" s="177"/>
      <c r="L4" s="177"/>
      <c r="M4" s="99" t="s">
        <v>11</v>
      </c>
      <c r="N4" s="99" t="s">
        <v>23</v>
      </c>
      <c r="O4" s="99" t="s">
        <v>30</v>
      </c>
      <c r="P4" s="177"/>
    </row>
    <row r="5" spans="1:16" x14ac:dyDescent="0.25">
      <c r="A5" s="11" t="s">
        <v>308</v>
      </c>
      <c r="B5" s="11"/>
      <c r="C5" s="11"/>
      <c r="D5" s="11"/>
      <c r="E5" s="11"/>
      <c r="F5" s="11"/>
      <c r="G5" s="11"/>
      <c r="H5" s="11"/>
      <c r="M5" s="99" t="s">
        <v>12</v>
      </c>
      <c r="N5" s="99" t="s">
        <v>24</v>
      </c>
      <c r="O5" s="99" t="s">
        <v>31</v>
      </c>
    </row>
    <row r="6" spans="1:16" x14ac:dyDescent="0.25">
      <c r="A6" s="176" t="s">
        <v>129</v>
      </c>
      <c r="B6" s="176"/>
      <c r="C6" s="176"/>
      <c r="D6" s="176"/>
      <c r="E6" s="176"/>
      <c r="F6" s="176"/>
      <c r="G6" s="176"/>
      <c r="H6" s="176"/>
      <c r="M6" s="99" t="s">
        <v>13</v>
      </c>
      <c r="N6" s="99" t="s">
        <v>25</v>
      </c>
      <c r="O6" s="99" t="s">
        <v>32</v>
      </c>
    </row>
    <row r="7" spans="1:16" x14ac:dyDescent="0.25">
      <c r="A7" s="176"/>
      <c r="B7" s="176"/>
      <c r="C7" s="176"/>
      <c r="D7" s="176"/>
      <c r="E7" s="176"/>
      <c r="F7" s="176"/>
      <c r="G7" s="176"/>
      <c r="H7" s="176"/>
      <c r="M7" s="99" t="s">
        <v>14</v>
      </c>
      <c r="N7" s="99" t="s">
        <v>26</v>
      </c>
      <c r="O7" s="99" t="s">
        <v>33</v>
      </c>
    </row>
    <row r="8" spans="1:16" x14ac:dyDescent="0.25">
      <c r="A8" s="238" t="s">
        <v>383</v>
      </c>
      <c r="B8" s="239"/>
      <c r="M8" s="99" t="s">
        <v>15</v>
      </c>
      <c r="N8" s="99" t="s">
        <v>27</v>
      </c>
      <c r="O8" s="99" t="s">
        <v>34</v>
      </c>
    </row>
    <row r="9" spans="1:16" x14ac:dyDescent="0.25">
      <c r="A9" s="248" t="s">
        <v>147</v>
      </c>
      <c r="B9" s="245"/>
      <c r="M9" s="99" t="s">
        <v>16</v>
      </c>
      <c r="N9" s="99" t="s">
        <v>13</v>
      </c>
      <c r="O9" s="99" t="s">
        <v>35</v>
      </c>
    </row>
    <row r="10" spans="1:16" x14ac:dyDescent="0.25">
      <c r="A10" s="79" t="s">
        <v>148</v>
      </c>
      <c r="B10" s="87"/>
      <c r="M10" s="99" t="s">
        <v>17</v>
      </c>
      <c r="N10" s="99" t="s">
        <v>14</v>
      </c>
      <c r="O10" s="99" t="s">
        <v>36</v>
      </c>
    </row>
    <row r="11" spans="1:16" x14ac:dyDescent="0.25">
      <c r="A11" s="249" t="s">
        <v>379</v>
      </c>
      <c r="B11" s="247"/>
      <c r="M11" s="99" t="s">
        <v>18</v>
      </c>
      <c r="N11" s="99" t="s">
        <v>15</v>
      </c>
      <c r="O11" s="99" t="s">
        <v>37</v>
      </c>
    </row>
    <row r="12" spans="1:16" x14ac:dyDescent="0.25">
      <c r="A12" s="79" t="s">
        <v>157</v>
      </c>
      <c r="B12" s="87"/>
      <c r="C12" s="8" t="s">
        <v>279</v>
      </c>
      <c r="M12" s="99" t="s">
        <v>19</v>
      </c>
      <c r="N12" s="99" t="s">
        <v>16</v>
      </c>
      <c r="O12" s="99" t="s">
        <v>38</v>
      </c>
    </row>
    <row r="13" spans="1:16" x14ac:dyDescent="0.25">
      <c r="A13" s="79" t="s">
        <v>380</v>
      </c>
      <c r="B13" s="8" t="s">
        <v>382</v>
      </c>
      <c r="M13" s="99" t="s">
        <v>20</v>
      </c>
      <c r="N13" s="99" t="s">
        <v>28</v>
      </c>
      <c r="O13" s="99" t="s">
        <v>39</v>
      </c>
    </row>
    <row r="14" spans="1:16" x14ac:dyDescent="0.25">
      <c r="M14" s="99" t="s">
        <v>21</v>
      </c>
      <c r="N14" s="62"/>
      <c r="O14" s="99" t="s">
        <v>40</v>
      </c>
    </row>
    <row r="15" spans="1:16" x14ac:dyDescent="0.25">
      <c r="A15" s="238" t="s">
        <v>384</v>
      </c>
      <c r="B15" s="239"/>
      <c r="M15" s="62"/>
      <c r="N15" s="62"/>
      <c r="O15" s="99" t="s">
        <v>41</v>
      </c>
    </row>
    <row r="16" spans="1:16" x14ac:dyDescent="0.25">
      <c r="A16" s="244" t="s">
        <v>155</v>
      </c>
      <c r="B16" s="245"/>
      <c r="M16" s="62"/>
      <c r="N16" s="62"/>
      <c r="O16" s="99" t="s">
        <v>42</v>
      </c>
    </row>
    <row r="17" spans="1:8" x14ac:dyDescent="0.25">
      <c r="A17" s="246" t="s">
        <v>328</v>
      </c>
      <c r="B17" s="247"/>
    </row>
    <row r="18" spans="1:8" x14ac:dyDescent="0.25">
      <c r="A18" s="246" t="s">
        <v>277</v>
      </c>
      <c r="B18" s="247"/>
    </row>
    <row r="19" spans="1:8" ht="15.75" thickBot="1" x14ac:dyDescent="0.3">
      <c r="A19" s="242" t="s">
        <v>327</v>
      </c>
      <c r="B19" s="243"/>
    </row>
    <row r="21" spans="1:8" x14ac:dyDescent="0.25">
      <c r="A21" s="238" t="s">
        <v>385</v>
      </c>
      <c r="B21" s="239"/>
    </row>
    <row r="22" spans="1:8" x14ac:dyDescent="0.25">
      <c r="A22" s="119" t="s">
        <v>302</v>
      </c>
      <c r="B22" s="120"/>
    </row>
    <row r="23" spans="1:8" x14ac:dyDescent="0.25">
      <c r="A23" s="79" t="s">
        <v>166</v>
      </c>
      <c r="B23" s="87"/>
    </row>
    <row r="24" spans="1:8" x14ac:dyDescent="0.25">
      <c r="A24" s="79" t="s">
        <v>174</v>
      </c>
      <c r="B24" s="87"/>
    </row>
    <row r="25" spans="1:8" x14ac:dyDescent="0.25">
      <c r="A25" s="79" t="s">
        <v>171</v>
      </c>
      <c r="B25" s="87"/>
    </row>
    <row r="26" spans="1:8" ht="15.75" thickBot="1" x14ac:dyDescent="0.3">
      <c r="A26" s="242" t="s">
        <v>161</v>
      </c>
      <c r="B26" s="243"/>
    </row>
    <row r="29" spans="1:8" ht="15.75" thickBot="1" x14ac:dyDescent="0.3">
      <c r="A29" s="213" t="s">
        <v>0</v>
      </c>
      <c r="B29" s="213"/>
      <c r="C29" s="213"/>
      <c r="D29" s="213"/>
      <c r="E29" s="213"/>
      <c r="F29" s="213"/>
      <c r="G29" s="213"/>
      <c r="H29" s="213"/>
    </row>
    <row r="30" spans="1:8" x14ac:dyDescent="0.25">
      <c r="A30" s="72" t="s">
        <v>386</v>
      </c>
      <c r="B30" s="208" t="s">
        <v>324</v>
      </c>
      <c r="C30" s="209"/>
      <c r="D30" s="209"/>
      <c r="E30" s="209"/>
      <c r="H30" s="147" t="s">
        <v>325</v>
      </c>
    </row>
    <row r="31" spans="1:8" x14ac:dyDescent="0.25">
      <c r="A31" s="73" t="s">
        <v>2</v>
      </c>
      <c r="B31" s="74" t="s">
        <v>3</v>
      </c>
      <c r="C31" s="74" t="s">
        <v>4</v>
      </c>
      <c r="D31" s="74" t="s">
        <v>5</v>
      </c>
      <c r="E31" s="74" t="s">
        <v>6</v>
      </c>
      <c r="F31" s="74" t="s">
        <v>124</v>
      </c>
      <c r="G31" s="74" t="s">
        <v>125</v>
      </c>
      <c r="H31" s="74" t="s">
        <v>123</v>
      </c>
    </row>
    <row r="32" spans="1:8" x14ac:dyDescent="0.25">
      <c r="A32" s="86" t="s">
        <v>147</v>
      </c>
      <c r="B32" s="65">
        <f>IF(B9=M3,"2",IF(B9=M4,"5",IF(B9=M5,"8",IF(B9=M6,"12",IF(B9=M7,14,IF(B9=M8,17,IF(B9=M9,22,IF(B9=M10,27,IF(B9=M11,30,IF(B9=M12,30,IF(B9=M13,30,IF(B9=M14,35,0))))))))))))</f>
        <v>0</v>
      </c>
      <c r="C32" s="65">
        <f>IF(B9=M3,"3",IF(B9=M4,"6",IF(B9=M5,"9",IF(B9=M6,"17",IF(B9=M7,18,IF(B9=M8,19,IF(B9=M9,24,IF(B9=M10,29,IF(B9=M11,34,IF(B9=M12,39,IF(B9=M13,44,IF(B9=M14,49,0))))))))))))</f>
        <v>0</v>
      </c>
      <c r="D32" s="65">
        <f>IF(B9=M3,"2",IF(B9=M4,"4",IF(B9=M5,"7",IF(B9=M6,"13",IF(B9=M7,14,IF(B9=M8,15,IF(B9=M9,20,IF(B9=M10,25,IF(B9=M11,30,IF(B9=M12,35,IF(B9=M13,40,IF(B9=M14,45,0))))))))))))</f>
        <v>0</v>
      </c>
      <c r="E32" s="65">
        <f>IF(B9=M3,"Max de répétitions et minimum 3",IF(B9=M4,"Max de répétitions et minimum 5",IF(B9=M5,"Max de répétitions et minimum 8",IF(B9=M6,"Max de répétitions et minimum 17",IF(B9=M7,"Max de répétitions et minimum 20",IF(B9=M8,"Max de répétitions et minimum 20",IF(B9=M9,"Max de répétitions et minimum 25",IF(B9=M10,"Max de répétitions et minimum 35",IF(B9=M11,"Max de répétitions et minimum 40",IF(B9=M12,"Max de répétitions et minimum 42",IF(B9=M13,"Max de répétitions et minimum 55",IF(B9=M14,"Max de répétitions et minimum 55",0))))))))))))</f>
        <v>0</v>
      </c>
      <c r="F32" s="68" t="s">
        <v>128</v>
      </c>
      <c r="G32" s="68" t="s">
        <v>128</v>
      </c>
      <c r="H32" s="70"/>
    </row>
    <row r="33" spans="1:8" x14ac:dyDescent="0.25">
      <c r="A33" s="79" t="s">
        <v>148</v>
      </c>
      <c r="B33" s="68">
        <f>IF(B10=N3,"2",IF(B10=N4,"4",IF(B10=N5,"2",IF(B10=N6,"3",IF(B10=N7,6,IF(B10=N8,8,IF(B10=N9,12,IF(B10=N10,16,IF(B10=N11,20,IF(B10=N12,23,IF(B10=N13,25,0)))))))))))</f>
        <v>0</v>
      </c>
      <c r="C33" s="68">
        <f>IF(B10=N3,"7",IF(B10=N4,"9",IF(B10=N5,"3",IF(B10=N6,"5",IF(B10=N7,8,IF(B10=N8,11,IF(B10=N9,16,IF(B10=N10,18,IF(B10=N11,25,IF(B10=N12,27,IF(B10=N13,28,0)))))))))))</f>
        <v>0</v>
      </c>
      <c r="D33" s="68">
        <f>IF(B10=N3,"5",IF(B10=N4,"6",IF(B10=N5,"2",IF(B10=N6,"3",IF(B10=N7,6,IF(B10=N8,8,IF(B10=N9,12,IF(B10=N10,15,IF(B10=N11,19,IF(B10=N12,22,IF(B10=N13,24,0)))))))))))</f>
        <v>0</v>
      </c>
      <c r="E33" s="68">
        <f>IF(B10=N3,"6",IF(B10=N4,"7",IF(B10=N5,"Max de répétitions et minimum 3",IF(B10=N6,"Max de répétitions et minimum 4",IF(B10=N7,"Max de répétitions et minimum 7",IF(B10=N8,"Max de répétitions et minimum 9",IF(B10=N9,"Max de répétitions et minimum 13",IF(B10=N10,"Max de répétitions et minimum 16",IF(B10=N11,"Max de répétitions et minimum 20",IF(B10=N12,"Max de répétitions et minimum 21",IF(B10=N13,"Max de répétitions et minimum 25",0)))))))))))</f>
        <v>0</v>
      </c>
      <c r="F33" s="68" t="s">
        <v>128</v>
      </c>
      <c r="G33" s="68" t="s">
        <v>128</v>
      </c>
      <c r="H33" s="69" t="str">
        <f>IF(OR(B10=N3,B10=N4),"Toutes les répétitions en excentrique : voir vidéo","")</f>
        <v/>
      </c>
    </row>
    <row r="34" spans="1:8" x14ac:dyDescent="0.25">
      <c r="A34" s="86" t="s">
        <v>379</v>
      </c>
      <c r="B34" s="68">
        <f>IF(B11=M3,"2",IF(B11=M4,"5",IF(B11=M5,"8",IF(B11=M6,"12",IF(B11=M7,14,IF(B11=M8,17,IF(B11=M9,22,IF(B11=M10,27,IF(B11=M11,30,IF(B11=M12,30,IF(B11=M13,30,IF(B11=M14,35,0))))))))))))</f>
        <v>0</v>
      </c>
      <c r="C34" s="68">
        <f>IF(B11=M3,"3",IF(B11=M4,"6",IF(B11=M5,"9",IF(B11=M6,"17",IF(B11=M7,18,IF(B11=M8,19,IF(B11=M9,24,IF(B11=M10,29,IF(B11=M11,34,IF(B11=M12,39,IF(B11=M13,44,IF(B11=M14,49,0))))))))))))</f>
        <v>0</v>
      </c>
      <c r="D34" s="68">
        <f>IF(B11=M3,"2",IF(B11=M4,"4",IF(B11=M5,"7",IF(B11=M6,"13",IF(B11=M7,14,IF(B11=M8,15,IF(B11=M9,20,IF(B11=M10,25,IF(B11=M11,30,IF(B11=M12,35,IF(B11=M13,40,IF(B11=M14,45,0))))))))))))</f>
        <v>0</v>
      </c>
      <c r="E34" s="68">
        <f>IF(B11=M3,"Max de répétitions et minimum 3",IF(B11=M4,"Max de répétitions et minimum 5",IF(B11=M5,"Max de répétitions et minimum 8",IF(B11=M6,"Max de répétitions et minimum 17",IF(B11=M7,"Max de répétitions et minimum 20",IF(B11=M8,"Max de répétitions et minimum 20",IF(B11=M9,"Max de répétitions et minimum 25",IF(B11=M10,"Max de répétitions et minimum 35",IF(B11=M11,"Max de répétitions et minimum 40",IF(B11=M12,"Max de répétitions et minimum 42",IF(B11=M13,"Max de répétitions et minimum 55",IF(B11=M14,"Max de répétitions et minimum 55",0))))))))))))</f>
        <v>0</v>
      </c>
      <c r="F34" s="68" t="s">
        <v>128</v>
      </c>
      <c r="G34" s="68" t="s">
        <v>128</v>
      </c>
      <c r="H34" s="69"/>
    </row>
    <row r="35" spans="1:8" x14ac:dyDescent="0.25">
      <c r="A35" s="79" t="s">
        <v>157</v>
      </c>
      <c r="B35" s="68">
        <f>IF(B12=N3,"2",IF(B12=N4,"3",IF(B12=N5,"2",IF(B12=N6,"3",IF(B12=N7,6,IF(B12=N8,8,IF(B12=N9,12,IF(B12=N10,16,IF(B12=N11,20,IF(B12=N12,23,IF(B12=N13,25,0)))))))))))</f>
        <v>0</v>
      </c>
      <c r="C35" s="68">
        <f>IF(B12=N3,"3",IF(B12=N4,"2",IF(B12=N5,"3",IF(B12=N6,"5",IF(B12=N7,8,IF(B12=N8,11,IF(B12=N9,16,IF(B12=N10,18,IF(B12=N11,25,IF(B12=N12,27,IF(B12=N13,28,0)))))))))))</f>
        <v>0</v>
      </c>
      <c r="D35" s="68">
        <f>IF(B12=N3,"Max de répétitions",IF(B12=N4,"Max de répétitions",IF(B12=N5,"Max de répétitions et minimum 3",IF(B12=N6,"Max de répétitions et minimum 4",IF(B12=N7,"Max de répétitions et minimum 7",IF(B12=N8,"Max de répétitions et minimum 9",IF(B12=N9,"Max de répétitions et minimum 13",IF(B12=N10,"Max de répétitions et minimum 16",IF(B12=N11,"Max de répétitions et minimum 20",IF(B12=N12,"Max de répétitions et minimum 21",IF(B12=N13,"Max de répétitions et minimum 25",0)))))))))))</f>
        <v>0</v>
      </c>
      <c r="E35" s="112"/>
      <c r="F35" s="68" t="s">
        <v>131</v>
      </c>
      <c r="G35" s="68" t="s">
        <v>131</v>
      </c>
      <c r="H35" s="70"/>
    </row>
    <row r="36" spans="1:8" x14ac:dyDescent="0.25">
      <c r="A36" s="187" t="s">
        <v>380</v>
      </c>
      <c r="B36" s="68">
        <v>8</v>
      </c>
      <c r="C36" s="68">
        <v>8</v>
      </c>
      <c r="D36" s="68">
        <v>8</v>
      </c>
      <c r="E36" s="112"/>
      <c r="F36" s="68" t="s">
        <v>131</v>
      </c>
      <c r="G36" s="112"/>
      <c r="H36" s="70"/>
    </row>
    <row r="37" spans="1:8" ht="15.75" thickBot="1" x14ac:dyDescent="0.3">
      <c r="A37" s="88" t="s">
        <v>384</v>
      </c>
      <c r="B37" s="219" t="s">
        <v>324</v>
      </c>
      <c r="C37" s="220"/>
      <c r="D37" s="220"/>
      <c r="E37" s="220"/>
      <c r="H37" s="147" t="s">
        <v>325</v>
      </c>
    </row>
    <row r="38" spans="1:8" x14ac:dyDescent="0.25">
      <c r="A38" s="60" t="s">
        <v>2</v>
      </c>
      <c r="B38" s="74" t="s">
        <v>3</v>
      </c>
      <c r="C38" s="74" t="s">
        <v>4</v>
      </c>
      <c r="D38" s="74" t="s">
        <v>5</v>
      </c>
      <c r="E38" s="74" t="s">
        <v>6</v>
      </c>
      <c r="F38" s="74" t="s">
        <v>124</v>
      </c>
      <c r="G38" s="74" t="s">
        <v>125</v>
      </c>
      <c r="H38" s="74" t="s">
        <v>123</v>
      </c>
    </row>
    <row r="39" spans="1:8" x14ac:dyDescent="0.25">
      <c r="A39" s="79" t="s">
        <v>155</v>
      </c>
      <c r="B39" s="71">
        <f>IF(B16=N3,"2",IF(B16=N4,"4",IF(B16=N5,"2",IF(B16=N6,"3",IF(B16=N7,6,IF(B16=N8,8,IF(B16=N9,12,IF(B16=N10,16,IF(B16=N11,20,IF(B16=N12,23,IF(B16=N13,25,0)))))))))))</f>
        <v>0</v>
      </c>
      <c r="C39" s="65">
        <f>IF(B16=N3,"7",IF(B16=N4,"9",IF(B16=N5,"3",IF(B16=N6,"5",IF(B16=N7,8,IF(B16=N8,11,IF(B16=N9,16,IF(B16=N10,18,IF(B16=N11,25,IF(B16=N12,27,IF(B16=N13,28,0)))))))))))</f>
        <v>0</v>
      </c>
      <c r="D39" s="65">
        <f>IF(B16=N3,"5",IF(B16=N4,"6",IF(B16=N5,"2",IF(B16=N6,"3",IF(B16=N7,6,IF(B16=N8,8,IF(B16=N9,12,IF(B16=N10,15,IF(B16=N11,19,IF(B16=N12,22,IF(B16=N13,24,0)))))))))))</f>
        <v>0</v>
      </c>
      <c r="E39" s="71">
        <f>IF(B16=N3,"6",IF(B16=N4,"7",IF(B16=N5,"Max de répétitions et minimum 3",IF(B16=N6,"Max de répétitions et minimum 4",IF(B16=N7,"Max de répétitions et minimum 7",IF(B16=N8,"Max de répétitions et minimum 9",IF(B16=N9,"Max de répétitions et minimum 13",IF(B16=N10,"Max de répétitions et minimum 16",IF(B16=N11,"Max de répétitions et minimum 20",IF(B16=N12,"Max de répétitions et minimum 21",IF(B16=N13,"Max de répétitions et minimum 25",0)))))))))))</f>
        <v>0</v>
      </c>
      <c r="F39" s="68" t="s">
        <v>128</v>
      </c>
      <c r="G39" s="68" t="s">
        <v>127</v>
      </c>
      <c r="H39" s="67" t="str">
        <f>IF(OR(B16=N3,B16=N4),"Toutes les répétitions en excentrique","")</f>
        <v/>
      </c>
    </row>
    <row r="40" spans="1:8" x14ac:dyDescent="0.25">
      <c r="A40" s="79" t="s">
        <v>328</v>
      </c>
      <c r="B40" s="65">
        <f>IF(B17=N3,"2",IF(B17=N4,"3",IF(B17=N5,"2",IF(B17=N6,"3",IF(B17=N7,6,IF(B17=N8,8,IF(B17=N9,12,IF(B17=N10,16,IF(B17=N11,20,IF(B17=N12,23,IF(B17=N13,25,0)))))))))))</f>
        <v>0</v>
      </c>
      <c r="C40" s="68">
        <f>IF(B17=N3,"3",IF(B17=N4,"2",IF(B17=N5,"3",IF(B17=N6,"5",IF(B17=N7,8,IF(B17=N8,11,IF(B17=N9,16,IF(B17=N10,18,IF(B17=N11,25,IF(B17=N12,27,IF(B17=N13,28,0)))))))))))</f>
        <v>0</v>
      </c>
      <c r="D40" s="68">
        <f>IF(B17=N3,"2",IF(B17=N4,"3",IF(B17=N5,"2",IF(B17=N6,"3",IF(B17=N7,6,IF(B17=N8,8,IF(B17=N9,12,IF(B17=N10,15,IF(B17=N11,19,IF(B17=N12,22,IF(B17=N13,24,0)))))))))))</f>
        <v>0</v>
      </c>
      <c r="E40" s="71">
        <f>IF(B17=N3,"Max de répétitions",IF(B17=N4,"Max de répétitions",IF(B17=N5,"Max de répétitions et minimum 3",IF(B17=N6,"Max de répétitions et minimum 4",IF(B17=N7,"Max de répétitions et minimum 7",IF(B17=N8,"Max de répétitions et minimum 9",IF(B17=N9,"Max de répétitions et minimum 13",IF(B17=N10,"Max de répétitions et minimum 16",IF(B17=N11,"Max de répétitions et minimum 20",IF(B17=N12,"Max de répétitions et minimum 21",IF(B17=N13,"Max de répétitions et minimum 25",0)))))))))))</f>
        <v>0</v>
      </c>
      <c r="F40" s="68" t="s">
        <v>131</v>
      </c>
      <c r="G40" s="68" t="s">
        <v>131</v>
      </c>
      <c r="H40" s="69"/>
    </row>
    <row r="41" spans="1:8" x14ac:dyDescent="0.25">
      <c r="A41" s="79" t="s">
        <v>277</v>
      </c>
      <c r="B41" s="71">
        <f>IF(B18=N3,"2",IF(B18=N4,"3",IF(B18=N5,"2",IF(B18=N6,"3",IF(B18=N7,6,IF(B18=N8,8,IF(B18=N9,12,IF(B18=N10,16,IF(B18=N11,20,IF(B18=N12,23,IF(B18=N13,25,0)))))))))))</f>
        <v>0</v>
      </c>
      <c r="C41" s="68">
        <f>IF(B18=N3,"3",IF(B18=N4,"2",IF(B18=N5,"3",IF(B18=N6,"5",IF(B18=N7,8,IF(B18=N8,11,IF(B18=N9,16,IF(B18=N10,18,IF(B18=N11,25,IF(B18=N12,27,IF(B18=N13,28,0)))))))))))</f>
        <v>0</v>
      </c>
      <c r="D41" s="71">
        <f>IF(B18=N3,"2",IF(B18=N4,"3",IF(B18=N5,"2",IF(B18=N6,"3",IF(B18=N7,6,IF(B18=N8,8,IF(B18=N9,12,IF(B18=N10,15,IF(B18=N11,19,IF(B18=N12,22,IF(B18=N13,24,0)))))))))))</f>
        <v>0</v>
      </c>
      <c r="E41" s="71">
        <f>IF(B18=N3,"Max de répétitions",IF(B18=N4,"Max de répétitions",IF(B18=N5,"Max de répétitions et minimum 3",IF(B18=N6,"Max de répétitions et minimum 4",IF(B18=N7,"Max de répétitions et minimum 7",IF(B18=N8,"Max de répétitions et minimum 9",IF(B18=N9,"Max de répétitions et minimum 13",IF(B18=N10,"Max de répétitions et minimum 16",IF(B18=N11,"Max de répétitions et minimum 20",IF(B18=N12,"Max de répétitions et minimum 21",IF(B18=N13,"Max de répétitions et minimum 25",0)))))))))))</f>
        <v>0</v>
      </c>
      <c r="F41" s="68" t="s">
        <v>131</v>
      </c>
      <c r="G41" s="68" t="s">
        <v>131</v>
      </c>
      <c r="H41" s="76"/>
    </row>
    <row r="42" spans="1:8" x14ac:dyDescent="0.25">
      <c r="A42" s="79" t="s">
        <v>327</v>
      </c>
      <c r="B42" s="68">
        <f>IF(B19=N3,"2",IF(B19=N4,"3",IF(B19=N5,"2",IF(B19=N6,"3",IF(B19=N7,6,IF(B19=N8,8,IF(B19=N9,12,IF(B19=N10,16,IF(B19=N11,20,IF(B19=N12,23,IF(B19=N13,25,0)))))))))))</f>
        <v>0</v>
      </c>
      <c r="C42" s="68">
        <f>IF(B19=N3,"3",IF(B19=N4,"2",IF(B19=N5,"3",IF(B19=N6,"5",IF(B19=N7,8,IF(B19=N8,11,IF(B19=N9,16,IF(B19=N10,18,IF(B19=N11,25,IF(B19=N12,27,IF(B19=N13,28,0)))))))))))</f>
        <v>0</v>
      </c>
      <c r="D42" s="68">
        <f>IF(B19=N3,"Max de répétitions",IF(B19=N4,"Max de répétitions",IF(B19=N5,"Max de répétitions et minimum 3",IF(B19=N6,"Max de répétitions et minimum 4",IF(B19=N7,"Max de répétitions et minimum 7",IF(B19=N8,"Max de répétitions et minimum 9",IF(B19=N9,"Max de répétitions et minimum 13",IF(B19=N10,"Max de répétitions et minimum 16",IF(B19=N11,"Max de répétitions et minimum 20",IF(B19=N12,"Max de répétitions et minimum 21",IF(B19=N13,"Max de répétitions et minimum 25",0)))))))))))</f>
        <v>0</v>
      </c>
      <c r="E42" s="112"/>
      <c r="F42" s="68" t="s">
        <v>131</v>
      </c>
      <c r="G42" s="112"/>
      <c r="H42" s="70"/>
    </row>
    <row r="43" spans="1:8" x14ac:dyDescent="0.25">
      <c r="A43" s="214" t="s">
        <v>152</v>
      </c>
      <c r="B43" s="215"/>
      <c r="C43" s="215"/>
      <c r="D43" s="215"/>
      <c r="E43" s="215"/>
      <c r="F43" s="215"/>
      <c r="G43" s="215"/>
      <c r="H43" s="215"/>
    </row>
    <row r="44" spans="1:8" ht="15.75" thickBot="1" x14ac:dyDescent="0.3">
      <c r="A44" s="88" t="s">
        <v>385</v>
      </c>
      <c r="B44" s="219" t="s">
        <v>324</v>
      </c>
      <c r="C44" s="220"/>
      <c r="D44" s="220"/>
      <c r="E44" s="220"/>
      <c r="H44" s="147" t="s">
        <v>325</v>
      </c>
    </row>
    <row r="45" spans="1:8" x14ac:dyDescent="0.25">
      <c r="A45" s="60" t="s">
        <v>2</v>
      </c>
      <c r="B45" s="74" t="s">
        <v>3</v>
      </c>
      <c r="C45" s="74" t="s">
        <v>4</v>
      </c>
      <c r="D45" s="74" t="s">
        <v>5</v>
      </c>
      <c r="E45" s="74" t="s">
        <v>6</v>
      </c>
      <c r="F45" s="74" t="s">
        <v>124</v>
      </c>
      <c r="G45" s="74" t="s">
        <v>125</v>
      </c>
      <c r="H45" s="74" t="s">
        <v>123</v>
      </c>
    </row>
    <row r="46" spans="1:8" x14ac:dyDescent="0.25">
      <c r="A46" s="79" t="s">
        <v>302</v>
      </c>
      <c r="B46" s="65">
        <f>IF(B22=O3,"4",IF(B22=O4,"8",IF(B22=O5,"16",IF(B22=O6,"22",IF(B22=O7,26,IF(B22=O8,32,IF(B22=O9,38,IF(B22=O10,44,IF(B22=O11,50,IF(B22=O12,52,IF(B22=O13,50,IF(B22=O14,50,IF(B22=O15,60,IF(B22=O16,74,0))))))))))))))</f>
        <v>0</v>
      </c>
      <c r="C46" s="65">
        <f>IF(B22=O3,"6",IF(B22=O4,"8",IF(B22=O5,"16",IF(B22=O6,"22",IF(B22=O7,26,IF(B22=O8,32,IF(B22=O9,36,IF(B22=O10,44,IF(B22=O11,50,IF(B22=O12,52,IF(B22=O13,42,IF(B22=O14,52,IF(B22=O15,60,IF(B22=O16,64,0))))))))))))))</f>
        <v>0</v>
      </c>
      <c r="D46" s="65">
        <f>IF(B22=O3,"6",IF(B22=O4,"8",IF(B22=O5,"16",IF(B22=O6,"22",IF(B22=O7,26,IF(B22=O8,30,IF(B22=O9,36,IF(B22=O10,40,IF(B22=O11,48,IF(B22=O12,54,IF(B22=O13,56,IF(B22=O14,56,IF(B22=O15,60,IF(B22=O16,54,0))))))))))))))</f>
        <v>0</v>
      </c>
      <c r="E46" s="65">
        <f>IF(B22=O3,"Max de répétitions et minimum 7",IF(B22=O4,"Max de répétitions et minimum 10",IF(B22=O5,"Max de répétitions et minimum 10",IF(B22=O6,"Max de répétitions et minimum 24",IF(B22=O7,"Max de répétitions et minimum 28",IF(B22=O8,"Max de répétitions et minimum 32",IF(B22=O9,"Max de répétitions et minimum 40",IF(B22=O10,"Max de répétitions et minimum 46",IF(B22=O11,"Max de répétitions et minimum 50",IF(B22=O12,"Max de répétitions et minimum 60",IF(B22=O13,"Max de répétitions et minimum 65",IF(B22=O14,"Max de répétitions et minimum 70",IF(B22=O15,"Max de répétitions et minimum 60",IF(B22=O16,"Max de répétitions et minimum 64",0))))))))))))))</f>
        <v>0</v>
      </c>
      <c r="F46" s="68" t="s">
        <v>128</v>
      </c>
      <c r="G46" s="68" t="s">
        <v>127</v>
      </c>
      <c r="H46" s="67" t="s">
        <v>387</v>
      </c>
    </row>
    <row r="47" spans="1:8" x14ac:dyDescent="0.25">
      <c r="A47" s="79" t="s">
        <v>166</v>
      </c>
      <c r="B47" s="68">
        <f>IF(B23=N3,"2",IF(B23=N4,"3",IF(B23=N5,"2",IF(B23=N6,"3",IF(B23=N7,6,IF(B23=N8,8,IF(B23=N9,12,IF(B23=N10,16,IF(B23=N11,20,IF(B23=N12,23,IF(B23=N13,25,0)))))))))))</f>
        <v>0</v>
      </c>
      <c r="C47" s="68">
        <f>IF(B23=N3,"3",IF(B23=N4,"2",IF(B23=N5,"3",IF(B23=N6,"5",IF(B23=N7,8,IF(B23=N8,11,IF(B23=N9,16,IF(B23=N10,18,IF(B23=N11,25,IF(B23=N12,27,IF(B23=N13,28,0)))))))))))</f>
        <v>0</v>
      </c>
      <c r="D47" s="68">
        <f>IF(B23=N3,"2",IF(B23=N4,"3",IF(B23=N5,"2",IF(B23=N6,"3",IF(B23=N7,6,IF(B23=N8,8,IF(B23=N9,12,IF(B23=N10,15,IF(B23=N11,19,IF(B23=N12,22,IF(B23=N13,24,0)))))))))))</f>
        <v>0</v>
      </c>
      <c r="E47" s="68">
        <f>IF(B23=N3,"Max de répétitions",IF(B23=N4,"Max de répétitions",IF(B23=N5,"Max de répétitions et minimum 3",IF(B23=N6,"Max de répétitions et minimum 4",IF(B23=N7,"Max de répétitions et minimum 7",IF(B23=N8,"Max de répétitions et minimum 9",IF(B23=N9,"Max de répétitions et minimum 13",IF(B23=N10,"Max de répétitions et minimum 16",IF(B23=N11,"Max de répétitions et minimum 20",IF(B23=N12,"Max de répétitions et minimum 21",IF(B23=N13,"Max de répétitions et minimum 25",0)))))))))))</f>
        <v>0</v>
      </c>
      <c r="F47" s="68" t="s">
        <v>130</v>
      </c>
      <c r="G47" s="68" t="s">
        <v>128</v>
      </c>
      <c r="H47" s="69"/>
    </row>
    <row r="48" spans="1:8" x14ac:dyDescent="0.25">
      <c r="A48" s="79" t="s">
        <v>174</v>
      </c>
      <c r="B48" s="68">
        <f>IF(B24=N3,"2",IF(B24=N4,"3",IF(B24=N5,"2",IF(B24=N6,"3",IF(B24=N7,6,IF(B24=N8,8,IF(B24=N9,12,IF(B24=N10,16,IF(B24=N11,20,IF(B24=N12,23,IF(B24=N13,25,0)))))))))))</f>
        <v>0</v>
      </c>
      <c r="C48" s="68">
        <f>IF(B24=N3,"3",IF(B24=N4,"2",IF(B24=N5,"3",IF(B24=N6,"5",IF(B24=N7,8,IF(B24=N8,11,IF(B24=N9,16,IF(B24=N10,18,IF(B24=N11,25,IF(B24=N12,27,IF(B24=N13,28,0)))))))))))</f>
        <v>0</v>
      </c>
      <c r="D48" s="68">
        <f>IF(B24=N3,"2",IF(B24=N4,"3",IF(B24=N5,"2",IF(B24=N6,"3",IF(B24=N7,6,IF(B24=N8,8,IF(B24=N9,12,IF(B24=N10,15,IF(B24=N11,19,IF(B24=N12,22,IF(B24=N13,24,0)))))))))))</f>
        <v>0</v>
      </c>
      <c r="E48" s="68">
        <f>IF(B24=N3,"Max de répétitions",IF(B24=N4,"Max de répétitions",IF(B24=N5,"Max de répétitions et minimum 3",IF(B24=N6,"Max de répétitions et minimum 4",IF(B24=N7,"Max de répétitions et minimum 7",IF(B24=N8,"Max de répétitions et minimum 9",IF(B24=N9,"Max de répétitions et minimum 13",IF(B24=N10,"Max de répétitions et minimum 16",IF(B24=N11,"Max de répétitions et minimum 20",IF(B24=N12,"Max de répétitions et minimum 21",IF(B24=N13,"Max de répétitions et minimum 25",0)))))))))))</f>
        <v>0</v>
      </c>
      <c r="F48" s="68" t="s">
        <v>130</v>
      </c>
      <c r="G48" s="68" t="s">
        <v>128</v>
      </c>
      <c r="H48" s="69"/>
    </row>
    <row r="49" spans="1:8" x14ac:dyDescent="0.25">
      <c r="A49" s="79" t="s">
        <v>171</v>
      </c>
      <c r="B49" s="68">
        <f>IF(B25=M3,"2",IF(B25=M4,"5",IF(B25=M5,"8",IF(B25=M6,"12",IF(B25=M7,14,IF(B25=M8,17,IF(B25=M9,22,IF(B25=M10,27,IF(B25=M11,30,IF(B25=M12,30,IF(B25=M13,30,IF(B25=M14,35,0))))))))))))</f>
        <v>0</v>
      </c>
      <c r="C49" s="68">
        <f>IF(B25=M3,"3",IF(B25=M4,"6",IF(B25=M5,"9",IF(B25=M6,"17",IF(B25=M7,18,IF(B25=M8,19,IF(B25=M9,24,IF(B25=M10,29,IF(B25=M11,34,IF(B25=M12,39,IF(B25=M13,44,IF(B25=M14,49,0))))))))))))</f>
        <v>0</v>
      </c>
      <c r="D49" s="68">
        <f>IF(B25=M3,"Max de répétitions et minimum 3",IF(B25=M4,"Max de répétitions et minimum 5",IF(B25=M5,"Max de répétitions et minimum 8",IF(B25=M6,"Max de répétitions et minimum 17",IF(B25=M7,"Max de répétitions et minimum 20",IF(B25=M8,"Max de répétitions et minimum 20",IF(B25=M9,"Max de répétitions et minimum 25",IF(B25=M10,"Max de répétitions et minimum 35",IF(B25=M11,"Max de répétitions et minimum 40",IF(B25=M12,"Max de répétitions et minimum 42",IF(B25=M13,"Max de répétitions et minimum 55",IF(B25=M14,"Max de répétitions et minimum 55",0))))))))))))</f>
        <v>0</v>
      </c>
      <c r="E49" s="112"/>
      <c r="F49" s="68" t="s">
        <v>173</v>
      </c>
      <c r="G49" s="68" t="s">
        <v>131</v>
      </c>
      <c r="H49" s="70"/>
    </row>
    <row r="50" spans="1:8" ht="15.75" thickBot="1" x14ac:dyDescent="0.3">
      <c r="A50" s="79" t="s">
        <v>161</v>
      </c>
      <c r="B50" s="68">
        <f>IF(B26=N3,"2",IF(B26=N4,"3",IF(B26=N5,"2",IF(B26=N6,"3",IF(B26=N7,6,IF(B26=N8,8,IF(B26=N9,12,IF(B26=N10,16,IF(B26=N11,20,IF(B26=N12,23,IF(B26=N13,25,0)))))))))))</f>
        <v>0</v>
      </c>
      <c r="C50" s="68">
        <f>IF(B26=N3,"3",IF(B26=N4,"2",IF(B26=N5,"3",IF(B26=N6,"5",IF(B26=N7,8,IF(B26=N8,11,IF(B26=N9,16,IF(B26=N10,18,IF(B26=N11,25,IF(B26=N12,27,IF(B26=N13,28,0)))))))))))</f>
        <v>0</v>
      </c>
      <c r="D50" s="68">
        <f>IF(B26=N3,"Max de répétitions",IF(B26=N4,"Max de répétitions",IF(B26=N5,"Max de répétitions et minimum 3",IF(B26=N6,"Max de répétitions et minimum 4",IF(B26=N7,"Max de répétitions et minimum 7",IF(B26=N8,"Max de répétitions et minimum 9",IF(B26=N9,"Max de répétitions et minimum 13",IF(B26=N10,"Max de répétitions et minimum 16",IF(B26=N11,"Max de répétitions et minimum 20",IF(B26=N12,"Max de répétitions et minimum 21",IF(B26=N13,"Max de répétitions et minimum 25",0)))))))))))</f>
        <v>0</v>
      </c>
      <c r="E50" s="112"/>
      <c r="F50" s="68" t="s">
        <v>131</v>
      </c>
      <c r="G50" s="112"/>
      <c r="H50" s="70"/>
    </row>
    <row r="51" spans="1:8" x14ac:dyDescent="0.25">
      <c r="A51" s="72" t="s">
        <v>386</v>
      </c>
      <c r="B51" s="208" t="s">
        <v>324</v>
      </c>
      <c r="C51" s="209"/>
      <c r="D51" s="209"/>
      <c r="E51" s="209"/>
      <c r="H51" s="147" t="s">
        <v>325</v>
      </c>
    </row>
    <row r="52" spans="1:8" x14ac:dyDescent="0.25">
      <c r="A52" s="73" t="s">
        <v>2</v>
      </c>
      <c r="B52" s="74" t="s">
        <v>3</v>
      </c>
      <c r="C52" s="74" t="s">
        <v>4</v>
      </c>
      <c r="D52" s="74" t="s">
        <v>5</v>
      </c>
      <c r="E52" s="74" t="s">
        <v>6</v>
      </c>
      <c r="F52" s="74" t="s">
        <v>124</v>
      </c>
      <c r="G52" s="74" t="s">
        <v>125</v>
      </c>
      <c r="H52" s="74" t="s">
        <v>123</v>
      </c>
    </row>
    <row r="53" spans="1:8" x14ac:dyDescent="0.25">
      <c r="A53" s="86" t="s">
        <v>147</v>
      </c>
      <c r="B53" s="65">
        <f>IF(B9=M3,"3",IF(B9=M4,"6",IF(B9=M5,"9",IF(B9=M6,"14",IF(B9=M7,20,IF(B9=M8,10,IF(B9=M9,10,IF(B9=M10,19,IF(B9=M11,19,IF(B9=M12,20,IF(B9=M13,22,IF(B9=M14,22,0))))))))))))</f>
        <v>0</v>
      </c>
      <c r="C53" s="65">
        <f>IF(B9=M3,"4",IF(B9=M4,"7",IF(B9=M5,"10",IF(B9=M6,"19",IF(B9=M7,25,IF(B9=M8,13,IF(B9=M9,15,IF(B9=M10,22,IF(B9=M11,23,IF(B9=M12,23,IF(B9=M13,27,IF(B9=M14,30,0))))))))))))</f>
        <v>0</v>
      </c>
      <c r="D53" s="65">
        <f>IF(B9=M3,"2",IF(B9=M4,"6",IF(B9=M5,"8",IF(B9=M6,"14",IF(B9=M7,15,IF(B9=M8,10,IF(B9=M9,18,IF(B9=M10,18,IF(B9=M11,19,IF(B9=M12,20,IF(B9=M13,24,IF(B9=M14,24,0))))))))))))</f>
        <v>0</v>
      </c>
      <c r="E53" s="65">
        <f>IF(B9=M3,"Max de répétitions et minimum 4",IF(B9=M4,"Max de répétitions et minimum 7",IF(B9=M5,"Max de répétitions et minimum 10",IF(B9=M6,"Max de répétitions et minimum 19",IF(B9=M7,"Max de répétitions et minimum 23",IF(B9=M8,"Max de répétitions et minimum 25",IF(B9=M9,"Max de répétitions et minimum 30",IF(B9=M10,"Max de répétitions et minimum 35",IF(B9=M11,"Max de répétitions et minimum 37",IF(B9=M12,"Max de répétitions et minimum 53",IF(B9=M13,"Max de répétitions et minimum 58",IF(B9=M14,"Max de répétitions et minimum 59",0))))))))))))</f>
        <v>0</v>
      </c>
      <c r="F53" s="68" t="s">
        <v>128</v>
      </c>
      <c r="G53" s="68" t="s">
        <v>128</v>
      </c>
      <c r="H53" s="70"/>
    </row>
    <row r="54" spans="1:8" x14ac:dyDescent="0.25">
      <c r="A54" s="79" t="s">
        <v>148</v>
      </c>
      <c r="B54" s="68">
        <f>IF(B10=N3,"3",IF(B10=N4,"5",IF(B10=N5,"2",IF(B10=N6,"4",IF(B10=N7,6,IF(B10=N8,9,IF(B10=N9,13,IF(B10=N10,16,IF(B10=N11,22,IF(B10=N12,24,IF(B10=N13,25,0)))))))))))</f>
        <v>0</v>
      </c>
      <c r="C54" s="68">
        <f>IF(B10=N3,"8",IF(B10=N4,"9",IF(B10=N5,"3",IF(B10=N6,"6",IF(B10=N7,9,IF(B10=N8,12,IF(B10=N9,16,IF(B10=N10,20,IF(B10=N11,25,IF(B10=N12,28,IF(B10=N13,29,0)))))))))))</f>
        <v>0</v>
      </c>
      <c r="D54" s="68">
        <f>IF(B10=N3,"6",IF(B10=N4,"7",IF(B10=N5,"2",IF(B10=N6,"4",IF(B10=N7,6,IF(B10=N8,9,IF(B10=N9,12,IF(B10=N10,16,IF(B10=N11,21,IF(B10=N12,24,IF(B10=N13,25,0)))))))))))</f>
        <v>0</v>
      </c>
      <c r="E54" s="68">
        <f>IF(B10=N3,"6",IF(B10=N4,"7",IF(B10=N5,"Max de répétitions et minimum 4",IF(B10=N6,"Max de répétitions et minimum 6",IF(B10=N7,"Max de répétitions et minimum 9",IF(B10=N8,"Max de répétitions et minimum 11",IF(B10=N9,"Max de répétitions et minimum 16",IF(B10=N10,"Max de répétitions et minimum 19",IF(B10=N11,"Max de répétitions et minimum 25",IF(B10=N12,"Max de répétitions et minimum 28",IF(B10=N13,"Max de répétitions et minimum 28",0)))))))))))</f>
        <v>0</v>
      </c>
      <c r="F54" s="68" t="s">
        <v>128</v>
      </c>
      <c r="G54" s="68" t="s">
        <v>128</v>
      </c>
      <c r="H54" s="69" t="str">
        <f>IF(OR(B10=N3,B10=N4),"Toutes les répétitions en excentrique : voir vidéo","")</f>
        <v/>
      </c>
    </row>
    <row r="55" spans="1:8" x14ac:dyDescent="0.25">
      <c r="A55" s="86" t="s">
        <v>379</v>
      </c>
      <c r="B55" s="68">
        <f>IF(B11=M3,"3",IF(B11=M4,"6",IF(B11=M5,"9",IF(B11=M6,"14",IF(B11=M7,20,IF(B11=M8,10,IF(B11=M9,10,IF(B11=M10,19,IF(B11=M11,19,IF(B11=M12,20,IF(B11=M13,22,IF(B11=M14,22,0))))))))))))</f>
        <v>0</v>
      </c>
      <c r="C55" s="68">
        <f>IF(B11=M3,"4",IF(B11=M4,"7",IF(B11=M5,"10",IF(B11=M6,"19",IF(B11=M7,25,IF(B11=M8,13,IF(B11=M9,15,IF(B11=M10,22,IF(B11=M11,23,IF(B11=M12,23,IF(B11=M13,27,IF(B11=M14,30,0))))))))))))</f>
        <v>0</v>
      </c>
      <c r="D55" s="68">
        <f>IF(B11=M3,"2",IF(B11=M4,"6",IF(B11=M5,"8",IF(B11=M6,"14",IF(B11=M7,15,IF(B11=M8,10,IF(B11=M9,18,IF(B11=M10,18,IF(B11=M11,19,IF(B11=M12,20,IF(B11=M13,24,IF(B11=M14,24,0))))))))))))</f>
        <v>0</v>
      </c>
      <c r="E55" s="68">
        <f>IF(B11=M3,"Max de répétitions et minimum 4",IF(B11=M4,"Max de répétitions et minimum 7",IF(B11=M5,"Max de répétitions et minimum 10",IF(B11=M6,"Max de répétitions et minimum 19",IF(B11=M7,"Max de répétitions et minimum 23",IF(B11=M8,"Max de répétitions et minimum 25",IF(B11=M9,"Max de répétitions et minimum 30",IF(B11=M10,"Max de répétitions et minimum 35",IF(B11=M11,"Max de répétitions et minimum 37",IF(B11=M12,"Max de répétitions et minimum 53",IF(B11=M13,"Max de répétitions et minimum 58",IF(B11=M14,"Max de répétitions et minimum 59",0))))))))))))</f>
        <v>0</v>
      </c>
      <c r="F55" s="68" t="s">
        <v>128</v>
      </c>
      <c r="G55" s="68" t="s">
        <v>128</v>
      </c>
      <c r="H55" s="69"/>
    </row>
    <row r="56" spans="1:8" x14ac:dyDescent="0.25">
      <c r="A56" s="79" t="s">
        <v>157</v>
      </c>
      <c r="B56" s="68">
        <f>IF(B12=N3,"3",IF(B12=N4,"3",IF(B12=N5,"2",IF(B12=N6,"4",IF(B12=N7,6,IF(B12=N8,9,IF(B12=N9,13,IF(B12=N10,16,IF(B12=N11,22,IF(B12=N12,24,IF(B12=N13,25,0)))))))))))</f>
        <v>0</v>
      </c>
      <c r="C56" s="68">
        <f>IF(B12=N3,"3",IF(B12=N4,"4",IF(B12=N5,"3",IF(B12=N6,"6",IF(B12=N7,9,IF(B12=N8,12,IF(B12=N9,16,IF(B12=N10,20,IF(B12=N11,25,IF(B12=N12,28,IF(B12=N13,29,0)))))))))))</f>
        <v>0</v>
      </c>
      <c r="D56" s="68">
        <f>IF(B12=N3,"Max de répétitions",IF(B12=N4,"Max de répétitions",IF(B12=N5,"Max de répétitions et minimum 4",IF(B12=N6,"Max de répétitions et minimum 6",IF(B12=N7,"Max de répétitions et minimum 9",IF(B12=N8,"Max de répétitions et minimum 11",IF(B12=N9,"Max de répétitions et minimum 16",IF(B12=N10,"Max de répétitions et minimum 19",IF(B12=N11,"Max de répétitions et minimum 25",IF(B12=N12,"Max de répétitions et minimum 28",IF(B12=N13,"Max de répétitions et minimum 28",0)))))))))))</f>
        <v>0</v>
      </c>
      <c r="E56" s="112"/>
      <c r="F56" s="68" t="s">
        <v>131</v>
      </c>
      <c r="G56" s="68" t="s">
        <v>131</v>
      </c>
      <c r="H56" s="70"/>
    </row>
    <row r="57" spans="1:8" x14ac:dyDescent="0.25">
      <c r="A57" s="187" t="s">
        <v>380</v>
      </c>
      <c r="B57" s="68">
        <v>9</v>
      </c>
      <c r="C57" s="68">
        <v>9</v>
      </c>
      <c r="D57" s="68">
        <v>9</v>
      </c>
      <c r="E57" s="112"/>
      <c r="F57" s="68" t="s">
        <v>131</v>
      </c>
      <c r="G57" s="112"/>
      <c r="H57" s="70"/>
    </row>
    <row r="58" spans="1:8" x14ac:dyDescent="0.25">
      <c r="A58" s="214" t="s">
        <v>139</v>
      </c>
      <c r="B58" s="215"/>
      <c r="C58" s="215"/>
      <c r="D58" s="215"/>
      <c r="E58" s="215"/>
      <c r="F58" s="215"/>
      <c r="G58" s="215"/>
      <c r="H58" s="215"/>
    </row>
    <row r="59" spans="1:8" x14ac:dyDescent="0.25">
      <c r="A59" s="214" t="s">
        <v>140</v>
      </c>
      <c r="B59" s="215"/>
      <c r="C59" s="215"/>
      <c r="D59" s="215"/>
      <c r="E59" s="215"/>
      <c r="F59" s="215"/>
      <c r="G59" s="215"/>
      <c r="H59" s="215"/>
    </row>
    <row r="60" spans="1:8" x14ac:dyDescent="0.25">
      <c r="A60" s="77"/>
      <c r="B60" s="77"/>
      <c r="C60" s="77"/>
      <c r="D60" s="77"/>
      <c r="E60" s="77"/>
      <c r="F60" s="77"/>
      <c r="G60" s="77"/>
      <c r="H60" s="77"/>
    </row>
    <row r="61" spans="1:8" ht="15.75" thickBot="1" x14ac:dyDescent="0.3">
      <c r="A61" s="213" t="s">
        <v>141</v>
      </c>
      <c r="B61" s="213"/>
      <c r="C61" s="213"/>
      <c r="D61" s="213"/>
      <c r="E61" s="213"/>
      <c r="F61" s="213"/>
      <c r="G61" s="213"/>
      <c r="H61" s="213"/>
    </row>
    <row r="62" spans="1:8" x14ac:dyDescent="0.25">
      <c r="A62" s="72" t="s">
        <v>386</v>
      </c>
      <c r="B62" s="208" t="s">
        <v>324</v>
      </c>
      <c r="C62" s="209"/>
      <c r="D62" s="209"/>
      <c r="E62" s="209"/>
      <c r="H62" s="147" t="s">
        <v>325</v>
      </c>
    </row>
    <row r="63" spans="1:8" x14ac:dyDescent="0.25">
      <c r="A63" s="73" t="s">
        <v>2</v>
      </c>
      <c r="B63" s="74" t="s">
        <v>3</v>
      </c>
      <c r="C63" s="74" t="s">
        <v>4</v>
      </c>
      <c r="D63" s="74" t="s">
        <v>5</v>
      </c>
      <c r="E63" s="74" t="s">
        <v>6</v>
      </c>
      <c r="F63" s="74" t="s">
        <v>124</v>
      </c>
      <c r="G63" s="74" t="s">
        <v>125</v>
      </c>
      <c r="H63" s="74" t="s">
        <v>123</v>
      </c>
    </row>
    <row r="64" spans="1:8" x14ac:dyDescent="0.25">
      <c r="A64" s="86" t="s">
        <v>147</v>
      </c>
      <c r="B64" s="65">
        <f>IF(B9=M3,"4",IF(B9=M4,"8",IF(B9=M5,"11",IF(B9=M6,"16",IF(B9=M7,20,IF(B9=M8,13,IF(B9=M9,18,IF(B9=M10,20,IF(B9=M11,20,IF(B9=M12,22,IF(B9=M13,26,IF(B9=M14,28,0))))))))))))</f>
        <v>0</v>
      </c>
      <c r="C64" s="65">
        <f>IF(B9=M3,"5",IF(B9=M4,"10",IF(B9=M5,"13",IF(B9=M6,"21",IF(B9=M7,27,IF(B9=M8,13,IF(B9=M9,20,IF(B9=M10,24,IF(B9=M11,27,IF(B9=M12,30,IF(B9=M13,33,IF(B9=M14,35,0))))))))))))</f>
        <v>0</v>
      </c>
      <c r="D64" s="65">
        <f>IF(B9=M3,"4",IF(B9=M4,"7",IF(B9=M5,"9",IF(B9=M6,"15",IF(B9=M7,18,IF(B9=M8,15,IF(B9=M9,17,IF(B9=M10,20,IF(B9=M11,21,IF(B9=M12,22,IF(B9=M13,23,IF(B9=M14,25,0))))))))))))</f>
        <v>0</v>
      </c>
      <c r="E64" s="65">
        <f>IF(B9=M3,"Max de répétitions et minimum 5",IF(B9=M4,"Max de répétitions et minimum 10",IF(B9=M5,"Max de répétitions et minimum 13",IF(B9=M6,"Max de répétitions et minimum 21",IF(B9=M7,"Max de répétitions et minimum 25",IF(B9=M8,"Max de répétitions et minimum 30",IF(B9=M9,"Max de répétitions et minimum 35",IF(B9=M10,"Max de répétitions et minimum 40",IF(B9=M11,"Max de répétitions et minimum 44",IF(B9=M12,"Max de répétitions et minimum 55",IF(B9=M13,"Max de répétitions et minimum 60",IF(B9=M14,"Max de répétitions et minimum 60",0))))))))))))</f>
        <v>0</v>
      </c>
      <c r="F64" s="68" t="s">
        <v>128</v>
      </c>
      <c r="G64" s="68" t="s">
        <v>128</v>
      </c>
      <c r="H64" s="70"/>
    </row>
    <row r="65" spans="1:8" x14ac:dyDescent="0.25">
      <c r="A65" s="79" t="s">
        <v>148</v>
      </c>
      <c r="B65" s="68">
        <f>IF(B10=N3,"4",IF(B10=N4,"6",IF(B10=N5,"3",IF(B10=N6,"5",IF(B10=N7,7,IF(B10=N8,9,IF(B10=N9,13,IF(B10=N10,17,IF(B10=N11,23,IF(B10=N12,25,IF(B10=N13,25,0)))))))))))</f>
        <v>0</v>
      </c>
      <c r="C65" s="68">
        <f>IF(B10=N3,"9",IF(B10=N4,"10",IF(B10=N5,"4",IF(B10=N6,"7",IF(B10=N7,10,IF(B10=N8,13,IF(B10=N9,16,IF(B10=N10,21,IF(B10=N11,26,IF(B10=N12,29,IF(B10=N13,30,0)))))))))))</f>
        <v>0</v>
      </c>
      <c r="D65" s="68">
        <f>IF(B10=N3,"6",IF(B10=N4,"8",IF(B10=N5,"2",IF(B10=N6,"5",IF(B10=N7,6,IF(B10=N8,9,IF(B10=N9,12,IF(B10=N10,16,IF(B10=N11,23,IF(B10=N12,24,IF(B10=N13,25,0)))))))))))</f>
        <v>0</v>
      </c>
      <c r="E65" s="68">
        <f>IF(B10=N3,"6",IF(B10=N4,"8",IF(B10=N5,"Max de répétitions et minimum 4",IF(B10=N6,"Max de répétitions et minimum 6",IF(B10=N7,"Max de répétitions et minimum 9",IF(B10=N8,"Max de répétitions et minimum 12",IF(B10=N9,"Max de répétitions et minimum 16",IF(B10=N10,"Max de répétitions et minimum 20",IF(B10=N11,"Max de répétitions et minimum 25",IF(B10=N12,"Max de répétitions et minimum 29",IF(B10=N13,"Max de répétitions et minimum 29",0)))))))))))</f>
        <v>0</v>
      </c>
      <c r="F65" s="68" t="s">
        <v>128</v>
      </c>
      <c r="G65" s="68" t="s">
        <v>128</v>
      </c>
      <c r="H65" s="69" t="str">
        <f>IF(OR(B10=N3,B10=N4),"Toutes les répétitions en excentrique : voir vidéo","")</f>
        <v/>
      </c>
    </row>
    <row r="66" spans="1:8" x14ac:dyDescent="0.25">
      <c r="A66" s="86" t="s">
        <v>379</v>
      </c>
      <c r="B66" s="68">
        <f>IF(B11=M3,"4",IF(B11=M4,"8",IF(B11=M5,"11",IF(B11=M6,"16",IF(B11=M7,20,IF(B11=M8,13,IF(B11=M9,18,IF(B11=M10,20,IF(B11=M11,20,IF(B11=M12,22,IF(B11=M13,26,IF(B11=M14,28,0))))))))))))</f>
        <v>0</v>
      </c>
      <c r="C66" s="68">
        <f>IF(B11=M3,"5",IF(B11=M4,"10",IF(B11=M5,"13",IF(B11=M6,"21",IF(B11=M7,27,IF(B11=M8,13,IF(B11=M9,20,IF(B11=M10,24,IF(B11=M11,27,IF(B11=M12,30,IF(B11=M13,33,IF(B11=M14,35,0))))))))))))</f>
        <v>0</v>
      </c>
      <c r="D66" s="68">
        <f>IF(B11=M3,"4",IF(B11=M4,"7",IF(B11=M5,"9",IF(B11=M6,"15",IF(B11=M7,18,IF(B11=M8,15,IF(B11=M9,17,IF(B11=M10,20,IF(B11=M11,21,IF(B11=M12,22,IF(B11=M13,23,IF(B11=M14,25,0))))))))))))</f>
        <v>0</v>
      </c>
      <c r="E66" s="68">
        <f>IF(B11=M3,"Max de répétitions et minimum 5",IF(B11=M4,"Max de répétitions et minimum 10",IF(B11=M5,"Max de répétitions et minimum 13",IF(B11=M6,"Max de répétitions et minimum 21",IF(B11=M7,"Max de répétitions et minimum 25",IF(B11=M8,"Max de répétitions et minimum 30",IF(B11=M9,"Max de répétitions et minimum 35",IF(B11=M10,"Max de répétitions et minimum 40",IF(B11=M11,"Max de répétitions et minimum 44",IF(B11=M12,"Max de répétitions et minimum 55",IF(B11=M13,"Max de répétitions et minimum 60",IF(B11=M14,"Max de répétitions et minimum 60",0))))))))))))</f>
        <v>0</v>
      </c>
      <c r="F66" s="68" t="s">
        <v>128</v>
      </c>
      <c r="G66" s="68" t="s">
        <v>128</v>
      </c>
      <c r="H66" s="69"/>
    </row>
    <row r="67" spans="1:8" x14ac:dyDescent="0.25">
      <c r="A67" s="79" t="s">
        <v>157</v>
      </c>
      <c r="B67" s="68">
        <f>IF(B12=N3,"4",IF(B12=N4,"6",IF(B12=N5,"3",IF(B12=N6,"5",IF(B12=N7,7,IF(B12=N8,9,IF(B12=N9,13,IF(B12=N10,17,IF(B12=N11,23,IF(B12=N12,25,IF(B12=N13,25,0)))))))))))</f>
        <v>0</v>
      </c>
      <c r="C67" s="68">
        <f>IF(B12=N3,"4",IF(B12=N4,"5",IF(B12=N5,"4",IF(B12=N6,"7",IF(B12=N7,10,IF(B12=N8,13,IF(B12=N9,16,IF(B12=N10,21,IF(B12=N11,26,IF(B12=N12,29,IF(B12=N13,30,0)))))))))))</f>
        <v>0</v>
      </c>
      <c r="D67" s="68">
        <f>IF(B12=N3,"Max de répétitions",IF(B12=N4,"Max de répétitions",IF(B12=N5,"Max de répétitions et minimum 4",IF(B12=N6,"Max de répétitions et minimum 6",IF(B12=N7,"Max de répétitions et minimum 9",IF(B12=N8,"Max de répétitions et minimum 12",IF(B12=N9,"Max de répétitions et minimum 16",IF(B12=N10,"Max de répétitions et minimum 20",IF(B12=N11,"Max de répétitions et minimum 25",IF(B12=N12,"Max de répétitions et minimum 29",IF(B12=N13,"Max de répétitions et minimum 29",0)))))))))))</f>
        <v>0</v>
      </c>
      <c r="E67" s="112"/>
      <c r="F67" s="68" t="s">
        <v>131</v>
      </c>
      <c r="G67" s="68" t="s">
        <v>131</v>
      </c>
      <c r="H67" s="70"/>
    </row>
    <row r="68" spans="1:8" x14ac:dyDescent="0.25">
      <c r="A68" s="187" t="s">
        <v>380</v>
      </c>
      <c r="B68" s="68">
        <v>10</v>
      </c>
      <c r="C68" s="68">
        <v>10</v>
      </c>
      <c r="D68" s="68">
        <v>10</v>
      </c>
      <c r="E68" s="112"/>
      <c r="F68" s="68" t="s">
        <v>131</v>
      </c>
      <c r="G68" s="112"/>
      <c r="H68" s="70"/>
    </row>
    <row r="69" spans="1:8" ht="15.75" thickBot="1" x14ac:dyDescent="0.3">
      <c r="A69" s="88" t="s">
        <v>384</v>
      </c>
      <c r="B69" s="219" t="s">
        <v>324</v>
      </c>
      <c r="C69" s="220"/>
      <c r="D69" s="220"/>
      <c r="E69" s="220"/>
      <c r="H69" s="147" t="s">
        <v>325</v>
      </c>
    </row>
    <row r="70" spans="1:8" x14ac:dyDescent="0.25">
      <c r="A70" s="60" t="s">
        <v>2</v>
      </c>
      <c r="B70" s="74" t="s">
        <v>3</v>
      </c>
      <c r="C70" s="74" t="s">
        <v>4</v>
      </c>
      <c r="D70" s="74" t="s">
        <v>5</v>
      </c>
      <c r="E70" s="74" t="s">
        <v>6</v>
      </c>
      <c r="F70" s="74" t="s">
        <v>124</v>
      </c>
      <c r="G70" s="74" t="s">
        <v>125</v>
      </c>
      <c r="H70" s="74" t="s">
        <v>123</v>
      </c>
    </row>
    <row r="71" spans="1:8" x14ac:dyDescent="0.25">
      <c r="A71" s="79" t="s">
        <v>155</v>
      </c>
      <c r="B71" s="71">
        <f>IF(B16=N3,"3",IF(B16=N4,"5",IF(B16=N5,"2",IF(B16=N6,"4",IF(B16=N7,6,IF(B16=N8,9,IF(B16=N9,13,IF(B16=N10,16,IF(B16=N11,22,IF(B16=N12,24,IF(B16=N13,25,0)))))))))))</f>
        <v>0</v>
      </c>
      <c r="C71" s="65">
        <f>IF(B16=N3,"8",IF(B16=N4,"9",IF(B16=N5,"3",IF(B16=N6,"6",IF(B16=N7,9,IF(B16=N8,12,IF(B16=N9,16,IF(B16=N10,20,IF(B16=N11,25,IF(B16=N12,28,IF(B16=N13,29,0)))))))))))</f>
        <v>0</v>
      </c>
      <c r="D71" s="65">
        <f>IF(B16=N3,"6",IF(B16=N4,"7",IF(B16=N5,"2",IF(B16=N6,"4",IF(B16=N7,6,IF(B16=N8,9,IF(B16=N9,12,IF(B16=N10,16,IF(B16=N11,21,IF(B16=N12,24,IF(B16=N13,25,0)))))))))))</f>
        <v>0</v>
      </c>
      <c r="E71" s="71">
        <f>IF(B16=N3,"6",IF(B16=N4,"7",IF(B16=N5,"Max de répétitions et minimum 4",IF(B16=N6,"Max de répétitions et minimum 6",IF(B16=N7,"Max de répétitions et minimum 9",IF(B16=N8,"Max de répétitions et minimum 11",IF(B16=N9,"Max de répétitions et minimum 16",IF(B16=N10,"Max de répétitions et minimum 19",IF(B16=N11,"Max de répétitions et minimum 25",IF(B16=N12,"Max de répétitions et minimum 28",IF(B16=N13,"Max de répétitions et minimum 28",0)))))))))))</f>
        <v>0</v>
      </c>
      <c r="F71" s="68" t="s">
        <v>128</v>
      </c>
      <c r="G71" s="68" t="s">
        <v>127</v>
      </c>
      <c r="H71" s="67" t="str">
        <f>IF(OR(B16=N3,B16=N4),"Toutes les répétitions en excentrique","")</f>
        <v/>
      </c>
    </row>
    <row r="72" spans="1:8" x14ac:dyDescent="0.25">
      <c r="A72" s="79" t="s">
        <v>328</v>
      </c>
      <c r="B72" s="65">
        <f>IF(B17=N3,"3",IF(B17=N4,"3",IF(B17=N5,"2",IF(B17=N6,"4",IF(B17=N7,6,IF(B17=N8,9,IF(B17=N9,13,IF(B17=N10,16,IF(B17=N11,22,IF(B17=N12,24,IF(B17=N13,25,0)))))))))))</f>
        <v>0</v>
      </c>
      <c r="C72" s="68">
        <f>IF(B17=N3,"3",IF(B17=N4,"4",IF(B17=N5,"3",IF(B17=N6,"6",IF(B17=N7,9,IF(B17=N8,12,IF(B17=N9,16,IF(B17=N10,20,IF(B17=N11,25,IF(B17=N12,28,IF(B17=N13,29,0)))))))))))</f>
        <v>0</v>
      </c>
      <c r="D72" s="68">
        <f>IF(B17=N3,"2",IF(B17=N4,"3",IF(B17=N5,"2",IF(B17=N6,"4",IF(B17=N7,6,IF(B17=N8,9,IF(B17=N9,12,IF(B17=N10,16,IF(B17=N11,21,IF(B17=N12,24,IF(B17=N13,25,0)))))))))))</f>
        <v>0</v>
      </c>
      <c r="E72" s="71">
        <f>IF(B17=N3,"Max de répétitions",IF(B17=N4,"Max de répétitions",IF(B17=N5,"Max de répétitions et minimum 4",IF(B17=N6,"Max de répétitions et minimum 6",IF(B17=N7,"Max de répétitions et minimum 9",IF(B17=N8,"Max de répétitions et minimum 11",IF(B17=N9,"Max de répétitions et minimum 16",IF(B17=N10,"Max de répétitions et minimum 19",IF(B17=N11,"Max de répétitions et minimum 25",IF(B17=N12,"Max de répétitions et minimum 28",IF(B17=N13,"Max de répétitions et minimum 28",0)))))))))))</f>
        <v>0</v>
      </c>
      <c r="F72" s="68" t="s">
        <v>131</v>
      </c>
      <c r="G72" s="68" t="s">
        <v>131</v>
      </c>
      <c r="H72" s="69"/>
    </row>
    <row r="73" spans="1:8" x14ac:dyDescent="0.25">
      <c r="A73" s="79" t="s">
        <v>277</v>
      </c>
      <c r="B73" s="71">
        <f>IF(B18=N3,"3",IF(B18=N4,"3",IF(B18=N5,"2",IF(B18=N6,"4",IF(B18=N7,6,IF(B18=N8,9,IF(B18=N9,13,IF(B18=N10,16,IF(B18=N11,22,IF(B18=N12,24,IF(B18=N13,25,0)))))))))))</f>
        <v>0</v>
      </c>
      <c r="C73" s="68">
        <f>IF(B18=N3,"3",IF(B18=N4,"4",IF(B18=N5,"3",IF(B18=N6,"6",IF(B18=N7,9,IF(B18=N8,12,IF(B18=N9,16,IF(B18=N10,20,IF(B18=N11,25,IF(B18=N12,28,IF(B18=N13,29,0)))))))))))</f>
        <v>0</v>
      </c>
      <c r="D73" s="71">
        <f>IF(B18=N3,"2",IF(B18=N4,"3",IF(B18=N5,"2",IF(B18=N6,"4",IF(B18=N7,6,IF(B18=N8,9,IF(B18=N9,12,IF(B18=N10,16,IF(B18=N11,21,IF(B18=N12,24,IF(B18=N13,25,0)))))))))))</f>
        <v>0</v>
      </c>
      <c r="E73" s="71">
        <f>IF(B18=N3,"Max de répétitions",IF(B18=N4,"Max de répétitions",IF(B18=N5,"Max de répétitions et minimum 4",IF(B18=N6,"Max de répétitions et minimum 6",IF(B18=N7,"Max de répétitions et minimum 9",IF(B18=N8,"Max de répétitions et minimum 11",IF(B18=N9,"Max de répétitions et minimum 16",IF(B18=N10,"Max de répétitions et minimum 19",IF(B18=N11,"Max de répétitions et minimum 25",IF(B18=N12,"Max de répétitions et minimum 28",IF(B18=N13,"Max de répétitions et minimum 28",0)))))))))))</f>
        <v>0</v>
      </c>
      <c r="F73" s="68" t="s">
        <v>131</v>
      </c>
      <c r="G73" s="68" t="s">
        <v>131</v>
      </c>
      <c r="H73" s="76"/>
    </row>
    <row r="74" spans="1:8" x14ac:dyDescent="0.25">
      <c r="A74" s="79" t="s">
        <v>327</v>
      </c>
      <c r="B74" s="68">
        <f>IF(B19=N3,"3",IF(B19=N4,"3",IF(B19=N5,"2",IF(B19=N6,"4",IF(B19=N7,6,IF(B19=N8,9,IF(B19=N9,13,IF(B19=N10,16,IF(B19=N11,22,IF(B19=N12,24,IF(B19=N13,25,0)))))))))))</f>
        <v>0</v>
      </c>
      <c r="C74" s="68">
        <f>IF(B19=N3,"3",IF(B19=N4,"4",IF(B19=N5,"3",IF(B19=N6,"6",IF(B19=N7,9,IF(B19=N8,12,IF(B19=N9,16,IF(B19=N10,20,IF(B19=N11,25,IF(B19=N12,28,IF(B19=N13,29,0)))))))))))</f>
        <v>0</v>
      </c>
      <c r="D74" s="68">
        <f>IF(B19=N3,"Max de répétitions",IF(B19=N4,"Max de répétitions",IF(B19=N5,"Max de répétitions et minimum 4",IF(B19=N6,"Max de répétitions et minimum 6",IF(B19=N7,"Max de répétitions et minimum 9",IF(B19=N8,"Max de répétitions et minimum 11",IF(B19=N9,"Max de répétitions et minimum 16",IF(B19=N10,"Max de répétitions et minimum 19",IF(B19=N11,"Max de répétitions et minimum 25",IF(B19=N12,"Max de répétitions et minimum 28",IF(B19=N13,"Max de répétitions et minimum 28",0)))))))))))</f>
        <v>0</v>
      </c>
      <c r="E74" s="112"/>
      <c r="F74" s="68" t="s">
        <v>131</v>
      </c>
      <c r="G74" s="112"/>
      <c r="H74" s="70"/>
    </row>
    <row r="75" spans="1:8" x14ac:dyDescent="0.25">
      <c r="A75" s="214" t="s">
        <v>152</v>
      </c>
      <c r="B75" s="215"/>
      <c r="C75" s="215"/>
      <c r="D75" s="215"/>
      <c r="E75" s="215"/>
      <c r="F75" s="215"/>
      <c r="G75" s="215"/>
      <c r="H75" s="215"/>
    </row>
    <row r="76" spans="1:8" ht="15.75" thickBot="1" x14ac:dyDescent="0.3">
      <c r="A76" s="88" t="s">
        <v>385</v>
      </c>
      <c r="B76" s="219" t="s">
        <v>324</v>
      </c>
      <c r="C76" s="220"/>
      <c r="D76" s="220"/>
      <c r="E76" s="220"/>
      <c r="H76" s="147" t="s">
        <v>325</v>
      </c>
    </row>
    <row r="77" spans="1:8" x14ac:dyDescent="0.25">
      <c r="A77" s="60" t="s">
        <v>2</v>
      </c>
      <c r="B77" s="74" t="s">
        <v>3</v>
      </c>
      <c r="C77" s="74" t="s">
        <v>4</v>
      </c>
      <c r="D77" s="74" t="s">
        <v>5</v>
      </c>
      <c r="E77" s="74" t="s">
        <v>6</v>
      </c>
      <c r="F77" s="74" t="s">
        <v>124</v>
      </c>
      <c r="G77" s="74" t="s">
        <v>125</v>
      </c>
      <c r="H77" s="74" t="s">
        <v>123</v>
      </c>
    </row>
    <row r="78" spans="1:8" x14ac:dyDescent="0.25">
      <c r="A78" s="79" t="s">
        <v>302</v>
      </c>
      <c r="B78" s="65">
        <f>IF(B22=O3,"6",IF(B22=O4,"10",IF(B22=O5,"16",IF(B22=O6,"22",IF(B22=O7,26,IF(B22=O8,32,IF(B22=O9,40,IF(B22=O10,44,IF(B22=O11,50,IF(B22=O12,54,IF(B22=O13,50,IF(B22=O14,50,IF(B22=O15,58,IF(B22=O16,64,0))))))))))))))</f>
        <v>0</v>
      </c>
      <c r="C78" s="65">
        <f>IF(B22=O3,"6",IF(B22=O4,"10",IF(B22=O5,"14",IF(B22=O6,"22",IF(B22=O7,26,IF(B22=O8,32,IF(B22=O9,38,IF(B22=O10,44,IF(B22=O11,50,IF(B22=O12,54,IF(B22=O13,50,IF(B22=O14,52,IF(B22=O15,54,IF(B22=O16,64,0))))))))))))))</f>
        <v>0</v>
      </c>
      <c r="D78" s="65">
        <f>IF(B22=O3,"6",IF(B22=O4,"10",IF(B22=O5,"15",IF(B22=O6,"23",IF(B22=O7,27,IF(B22=O8,32,IF(B22=O9,38,IF(B22=O10,46,IF(B22=O11,50,IF(B22=O12,54,IF(B22=O13,42,IF(B22=O14,54,IF(B22=O15,57,IF(B22=O16,62,0))))))))))))))</f>
        <v>0</v>
      </c>
      <c r="E78" s="65">
        <f>IF(B22=O3,"Max de répétitions et minimum 8",IF(B22=O4,"Max de répétitions et minimum 10",IF(B22=O5,"Max de répétitions et minimum 18",IF(B22=O6,"Max de répétitions et minimum 24",IF(B22=O7,"Max de répétitions et minimum 28",IF(B22=O8,"Max de répétitions et minimum 34",IF(B22=O9,"Max de répétitions et minimum 40",IF(B22=O10,"Max de répétitions et minimum 46",IF(B22=O11,"Max de répétitions et minimum 52",IF(B22=O12,"Max de répétitions et minimum 60",IF(B22=O13,"Max de répétitions et minimum 44",IF(B22=O14,"Max de répétitions et minimum 56",IF(B22=O15,"Max de répétitions et minimum 60",IF(B22=O16,"Max de répétitions et minimum 64",0))))))))))))))</f>
        <v>0</v>
      </c>
      <c r="F78" s="68" t="s">
        <v>128</v>
      </c>
      <c r="G78" s="68" t="s">
        <v>127</v>
      </c>
      <c r="H78" s="67" t="s">
        <v>387</v>
      </c>
    </row>
    <row r="79" spans="1:8" x14ac:dyDescent="0.25">
      <c r="A79" s="79" t="s">
        <v>166</v>
      </c>
      <c r="B79" s="68">
        <f>IF(B23=N3,"3",IF(B23=N4,"3",IF(B23=N5,"2",IF(B23=N6,"4",IF(B23=N7,6,IF(B23=N8,9,IF(B23=N9,13,IF(B23=N10,16,IF(B23=N11,22,IF(B23=N12,24,IF(B23=N13,25,0)))))))))))</f>
        <v>0</v>
      </c>
      <c r="C79" s="68">
        <f>IF(B23=N3,"3",IF(B23=N4,"4",IF(B23=N5,"3",IF(B23=N6,"6",IF(B23=N7,9,IF(B23=N8,12,IF(B23=N9,16,IF(B23=N10,20,IF(B23=N11,25,IF(B23=N12,28,IF(B23=N13,29,0)))))))))))</f>
        <v>0</v>
      </c>
      <c r="D79" s="68">
        <f>IF(B23=N3,"2",IF(B23=N4,"3",IF(B23=N5,"2",IF(B23=N6,"4",IF(B23=N7,6,IF(B23=N8,9,IF(B23=N9,12,IF(B23=N10,16,IF(B23=N11,21,IF(B23=N12,24,IF(B23=N13,25,0)))))))))))</f>
        <v>0</v>
      </c>
      <c r="E79" s="68">
        <f>IF(B23=N3,"Max de répétitions",IF(B23=N4,"Max de répétitions",IF(B23=N5,"Max de répétitions et minimum 4",IF(B23=N6,"Max de répétitions et minimum 6",IF(B23=N7,"Max de répétitions et minimum 9",IF(B23=N8,"Max de répétitions et minimum 11",IF(B23=N9,"Max de répétitions et minimum 16",IF(B23=N10,"Max de répétitions et minimum 19",IF(B23=N11,"Max de répétitions et minimum 25",IF(B23=N12,"Max de répétitions et minimum 28",IF(B23=N13,"Max de répétitions et minimum 28",0)))))))))))</f>
        <v>0</v>
      </c>
      <c r="F79" s="68" t="s">
        <v>130</v>
      </c>
      <c r="G79" s="68" t="s">
        <v>128</v>
      </c>
      <c r="H79" s="69"/>
    </row>
    <row r="80" spans="1:8" x14ac:dyDescent="0.25">
      <c r="A80" s="79" t="s">
        <v>174</v>
      </c>
      <c r="B80" s="68">
        <f>IF(B24=N3,"3",IF(B24=N4,"3",IF(B24=N5,"2",IF(B24=N6,"4",IF(B24=N7,6,IF(B24=N8,9,IF(B24=N9,13,IF(B24=N10,16,IF(B24=N11,22,IF(B24=N12,24,IF(B24=N13,25,0)))))))))))</f>
        <v>0</v>
      </c>
      <c r="C80" s="68">
        <f>IF(B24=N3,"3",IF(B24=N4,"4",IF(B24=N5,"3",IF(B24=N6,"6",IF(B24=N7,9,IF(B24=N8,12,IF(B24=N9,16,IF(B24=N10,20,IF(B24=N11,25,IF(B24=N12,28,IF(B24=N13,29,0)))))))))))</f>
        <v>0</v>
      </c>
      <c r="D80" s="68">
        <f>IF(B24=N3,"2",IF(B24=N4,"3",IF(B24=N5,"2",IF(B24=N6,"4",IF(B24=N7,6,IF(B24=N8,9,IF(B24=N9,12,IF(B24=N10,16,IF(B24=N11,21,IF(B24=N12,24,IF(B24=N13,25,0)))))))))))</f>
        <v>0</v>
      </c>
      <c r="E80" s="68">
        <f>IF(B24=N3,"Max de répétitions",IF(B24=N4,"Max de répétitions",IF(B24=N5,"Max de répétitions et minimum 4",IF(B24=N6,"Max de répétitions et minimum 6",IF(B24=N7,"Max de répétitions et minimum 9",IF(B24=N8,"Max de répétitions et minimum 11",IF(B24=N9,"Max de répétitions et minimum 16",IF(B24=N10,"Max de répétitions et minimum 19",IF(B24=N11,"Max de répétitions et minimum 25",IF(B24=N12,"Max de répétitions et minimum 28",IF(B24=N13,"Max de répétitions et minimum 28",0)))))))))))</f>
        <v>0</v>
      </c>
      <c r="F80" s="68" t="s">
        <v>130</v>
      </c>
      <c r="G80" s="68" t="s">
        <v>128</v>
      </c>
      <c r="H80" s="69"/>
    </row>
    <row r="81" spans="1:8" x14ac:dyDescent="0.25">
      <c r="A81" s="79" t="s">
        <v>171</v>
      </c>
      <c r="B81" s="68">
        <f>IF(B25=M3,"4",IF(B25=M4,"8",IF(B25=M5,"11",IF(B25=M6,"16",IF(B25=M7,20,IF(B25=M8,13,IF(B25=M9,18,IF(B25=M10,20,IF(B25=M11,20,IF(B25=M12,22,IF(B25=M13,26,IF(B25=M14,28,0))))))))))))</f>
        <v>0</v>
      </c>
      <c r="C81" s="68">
        <f>IF(B25=M3,"5",IF(B25=M4,"10",IF(B25=M5,"13",IF(B25=M6,"21",IF(B25=M7,27,IF(B25=M8,13,IF(B25=M9,20,IF(B25=M10,24,IF(B25=M11,27,IF(B25=M12,30,IF(B25=M13,33,IF(B25=M14,35,0))))))))))))</f>
        <v>0</v>
      </c>
      <c r="D81" s="68">
        <f>IF(B25=M3,"Max de répétitions et minimum 5",IF(B25=M4,"Max de répétitions et minimum 10",IF(B25=M5,"Max de répétitions et minimum 13",IF(B25=M6,"Max de répétitions et minimum 21",IF(B25=M7,"Max de répétitions et minimum 25",IF(B25=M8,"Max de répétitions et minimum 30",IF(B25=M9,"Max de répétitions et minimum 35",IF(B25=M10,"Max de répétitions et minimum 40",IF(B25=M11,"Max de répétitions et minimum 44",IF(B25=M12,"Max de répétitions et minimum 55",IF(B25=M13,"Max de répétitions et minimum 60",IF(B25=M14,"Max de répétitions et minimum 60",0))))))))))))</f>
        <v>0</v>
      </c>
      <c r="E81" s="112"/>
      <c r="F81" s="68" t="s">
        <v>173</v>
      </c>
      <c r="G81" s="68" t="s">
        <v>131</v>
      </c>
      <c r="H81" s="70"/>
    </row>
    <row r="82" spans="1:8" ht="15.75" thickBot="1" x14ac:dyDescent="0.3">
      <c r="A82" s="79" t="s">
        <v>161</v>
      </c>
      <c r="B82" s="68">
        <f>IF(B26=N3,"3",IF(B26=N4,"3",IF(B26=N5,"2",IF(B26=N6,"4",IF(B26=N7,6,IF(B26=N8,9,IF(B26=N9,13,IF(B26=N10,16,IF(B26=N11,22,IF(B26=N12,24,IF(B26=N13,25,0)))))))))))</f>
        <v>0</v>
      </c>
      <c r="C82" s="68">
        <f>IF(B26=N3,"3",IF(B26=N4,"4",IF(B26=N5,"3",IF(B26=N6,"6",IF(B26=N7,9,IF(B26=N8,12,IF(B26=N9,16,IF(B26=N10,20,IF(B26=N11,25,IF(B26=N12,28,IF(B26=N13,29,0)))))))))))</f>
        <v>0</v>
      </c>
      <c r="D82" s="68">
        <f>IF(B26=N3,"Max de répétitions",IF(B26=N4,"Max de répétitions",IF(B26=N5,"Max de répétitions et minimum 4",IF(B26=N6,"Max de répétitions et minimum 6",IF(B26=N7,"Max de répétitions et minimum 9",IF(B26=N8,"Max de répétitions et minimum 11",IF(B26=N9,"Max de répétitions et minimum 16",IF(B26=N10,"Max de répétitions et minimum 19",IF(B26=N11,"Max de répétitions et minimum 25",IF(B26=N12,"Max de répétitions et minimum 28",IF(B26=N13,"Max de répétitions et minimum 28",0)))))))))))</f>
        <v>0</v>
      </c>
      <c r="E82" s="112"/>
      <c r="F82" s="68" t="s">
        <v>131</v>
      </c>
      <c r="G82" s="112"/>
      <c r="H82" s="70"/>
    </row>
    <row r="83" spans="1:8" x14ac:dyDescent="0.25">
      <c r="A83" s="72" t="s">
        <v>386</v>
      </c>
      <c r="B83" s="208" t="s">
        <v>324</v>
      </c>
      <c r="C83" s="209"/>
      <c r="D83" s="209"/>
      <c r="E83" s="209"/>
      <c r="H83" s="147" t="s">
        <v>325</v>
      </c>
    </row>
    <row r="84" spans="1:8" x14ac:dyDescent="0.25">
      <c r="A84" s="73" t="s">
        <v>2</v>
      </c>
      <c r="B84" s="74" t="s">
        <v>3</v>
      </c>
      <c r="C84" s="74" t="s">
        <v>4</v>
      </c>
      <c r="D84" s="74" t="s">
        <v>5</v>
      </c>
      <c r="E84" s="74" t="s">
        <v>6</v>
      </c>
      <c r="F84" s="74" t="s">
        <v>124</v>
      </c>
      <c r="G84" s="74" t="s">
        <v>125</v>
      </c>
      <c r="H84" s="74" t="s">
        <v>123</v>
      </c>
    </row>
    <row r="85" spans="1:8" x14ac:dyDescent="0.25">
      <c r="A85" s="86" t="s">
        <v>147</v>
      </c>
      <c r="B85" s="65">
        <f>IF(B9=M3,"5",IF(B9=M4,"9",IF(B9=M5,"12",IF(B9=M6,"18",IF(B9=M7,21,IF(B9=M8, "voir note",IF(B9=M9,"voir note",IF(B9=M10,"voir note",IF(B9=M11,"voir note",IF(B9=M12,"voir note",IF(B9=M13,"voir note",IF(B9=M14,"voir note",0))))))))))))</f>
        <v>0</v>
      </c>
      <c r="C85" s="65">
        <f>IF(B9=M3,"6",IF(B9=M4,"11",IF(B9=M5,"14",IF(B9=M6,"22",IF(B9=M7,25,IF(B9=M8,"voir note",IF(B9=M9,"voir note",IF(B9=M10,"voir note",IF(B9=M11,"voir note",IF(B9=M12,"voir note",IF(B9=M13,"voir note",IF(B9=M14,"voir note",0))))))))))))</f>
        <v>0</v>
      </c>
      <c r="D85" s="65">
        <f>IF(B9=M3,"4",IF(B9=M4,"8",IF(B9=M5,"10",IF(B9=M6,"16",IF(B9=M7,21,IF(B9=M8,"voir note",IF(B9=M9,"voir note",IF(B9=M10,"voir note",IF(B9=M11,"voir note",IF(B9=M12,"voir note",IF(B9=M13,"voir note",IF(B9=M14,"voir note",0))))))))))))</f>
        <v>0</v>
      </c>
      <c r="E85" s="65">
        <f>IF(B9=M3,"Max de répétitions et minimum 6",IF(B9=M4,"Max de répétitions et minimum 11",IF(B9=M5,"Max de répétitions et minimum 15",IF(B9=M6,"Max de répétitions et minimum 21",IF(B9=M7,"Max de répétitions et minimum 27",IF(B9=M8,"voir note",IF(B9=M9,"voir note",IF(B9=M10,"voir note",IF(B9=M11,"voir note",IF(B9=M12,"voir note",IF(B9=M13,"voir note",IF(B9=M14,"voir note",0))))))))))))</f>
        <v>0</v>
      </c>
      <c r="F85" s="68" t="s">
        <v>128</v>
      </c>
      <c r="G85" s="68" t="s">
        <v>128</v>
      </c>
      <c r="H85" s="110" t="str">
        <f>IF(B9&gt;M7,"Refaire le test : 1 x max et mettre à jour l'onglet résultat du test","")</f>
        <v/>
      </c>
    </row>
    <row r="86" spans="1:8" x14ac:dyDescent="0.25">
      <c r="A86" s="79" t="s">
        <v>148</v>
      </c>
      <c r="B86" s="68">
        <f>IF(B10=N3,"5",IF(B10=N4,"6",IF(B10=N5,"3",IF(B10=N6,"5",IF(B10=N7,7,IF(B10=N8,10,IF(B10=N9,14,IF(B10=N10,17,IF(B10=N11,24,IF(B10=N12,26,IF(B10=N13,26,0)))))))))))</f>
        <v>0</v>
      </c>
      <c r="C86" s="68">
        <f>IF(B10=N3,"8",IF(B10=N4,"11",IF(B10=N5,"4",IF(B10=N6,"8",IF(B10=N7,10,IF(B10=N8,14,IF(B10=N9,19,IF(B10=N10,22,IF(B10=N11,27,IF(B10=N12,30,IF(B10=N13,31,0)))))))))))</f>
        <v>0</v>
      </c>
      <c r="D86" s="68">
        <f>IF(B10=N3,"7",IF(B10=N4,"8",IF(B10=N5,"3",IF(B10=N6,"5",IF(B10=N7,7,IF(B10=N8,10,IF(B10=N9,13,IF(B10=N10,17,IF(B10=N11,24,IF(B10=N12,25,IF(B10=N13,25,0)))))))))))</f>
        <v>0</v>
      </c>
      <c r="E86" s="68">
        <f>IF(B10=N3,"7",IF(B10=N4,"8",IF(B10=N5,"Max de répétitions et minimum 4",IF(B10=N6,"Max de répétitions et minimum 8",IF(B10=N7,"Max de répétitions et minimum 10",IF(B10=N8,"Max de répétitions et minimum 13",IF(B10=N9,"Max de répétitions et minimum 19",IF(B10=N10,"Max de répétitions et minimum 22",IF(B10=N11,"Max de répétitions et minimum 26",IF(B10=N12,"Max de répétitions et minimum 30",IF(B10=N13,"Max de répétitions et minimum 31",0)))))))))))</f>
        <v>0</v>
      </c>
      <c r="F86" s="68" t="s">
        <v>128</v>
      </c>
      <c r="G86" s="68" t="s">
        <v>128</v>
      </c>
      <c r="H86" s="69" t="str">
        <f>IF(OR(B10=N3,B10=N4),"Toutes les répétitions en excentrique : voir vidéo","")</f>
        <v/>
      </c>
    </row>
    <row r="87" spans="1:8" x14ac:dyDescent="0.25">
      <c r="A87" s="86" t="s">
        <v>379</v>
      </c>
      <c r="B87" s="68">
        <f>IF(B11=M3,"5",IF(B11=M4,"9",IF(B11=M5,"12",IF(B11=M6,"18",IF(B11=M7,21,IF(B11=M8, "voir note",IF(B11=M9,"voir note",IF(B11=M10,"voir note",IF(B11=M11,"voir note",IF(B11=M12,"voir note",IF(B11=M13,"voir note",IF(B11=M14,"voir note",0))))))))))))</f>
        <v>0</v>
      </c>
      <c r="C87" s="68">
        <f>IF(B11=M3,"6",IF(B11=M4,"11",IF(B11=M5,"14",IF(B11=M6,"22",IF(B11=M7,25,IF(B11=M8,"voir note",IF(B11=M9,"voir note",IF(B11=M10,"voir note",IF(B11=M11,"voir note",IF(B11=M12,"voir note",IF(B11=M13,"voir note",IF(B11=M14,"voir note",0))))))))))))</f>
        <v>0</v>
      </c>
      <c r="D87" s="68">
        <f>IF(B11=M3,"4",IF(B11=M4,"8",IF(B11=M5,"10",IF(B11=M6,"16",IF(B11=M7,21,IF(B11=M8,"voir note",IF(B11=M9,"voir note",IF(B11=M10,"voir note",IF(B11=M11,"voir note",IF(B11=M12,"voir note",IF(B11=M13,"voir note",IF(B11=M14,"voir note",0))))))))))))</f>
        <v>0</v>
      </c>
      <c r="E87" s="68">
        <f>IF(B11=M3,"Max de répétitions et minimum 6",IF(B11=M4,"Max de répétitions et minimum 11",IF(B11=M5,"Max de répétitions et minimum 15",IF(B11=M6,"Max de répétitions et minimum 21",IF(B11=M7,"Max de répétitions et minimum 27",IF(B11=M8,"voir note",IF(B11=M9,"voir note",IF(B11=M10,"voir note",IF(B11=M11,"voir note",IF(B11=M12,"voir note",IF(B11=M13,"voir note",IF(B11=M14,"voir note",0))))))))))))</f>
        <v>0</v>
      </c>
      <c r="F87" s="68" t="s">
        <v>128</v>
      </c>
      <c r="G87" s="68" t="s">
        <v>128</v>
      </c>
      <c r="H87" s="109" t="str">
        <f>IF(B11&gt;M7,"Refaire le test : 1 x max et mettre à jour l'onglet résultat du test","")</f>
        <v/>
      </c>
    </row>
    <row r="88" spans="1:8" x14ac:dyDescent="0.25">
      <c r="A88" s="79" t="s">
        <v>157</v>
      </c>
      <c r="B88" s="68">
        <f>IF(B12=N3,"5",IF(B12=N4,"6",IF(B12=N5,"3",IF(B12=N6,"5",IF(B12=N7,7,IF(B12=N8,10,IF(B12=N9,14,IF(B12=N10,17,IF(B12=N11,24,IF(B12=N12,26,IF(B12=N13,26,0)))))))))))</f>
        <v>0</v>
      </c>
      <c r="C88" s="68">
        <f>IF(B12=N3,"4",IF(B12=N4,"6",IF(B12=N5,"4",IF(B12=N6,"8",IF(B12=N7,10,IF(B12=N8,14,IF(B12=N9,19,IF(B12=N10,22,IF(B12=N11,27,IF(B12=N12,30,IF(B12=N13,31,0)))))))))))</f>
        <v>0</v>
      </c>
      <c r="D88" s="68">
        <f>IF(B12=N3,"Max de répétitions",IF(B12=N4,"Max de répétitions",IF(B12=N5,"Max de répétitions et minimum 4",IF(B12=N6,"Max de répétitions et minimum 8",IF(B12=N7,"Max de répétitions et minimum 10",IF(B12=N8,"Max de répétitions et minimum 13",IF(B12=N9,"Max de répétitions et minimum 19",IF(B12=N10,"Max de répétitions et minimum 22",IF(B12=N11,"Max de répétitions et minimum 26",IF(B12=N12,"Max de répétitions et minimum 30",IF(B12=N13,"Max de répétitions et minimum 31",0)))))))))))</f>
        <v>0</v>
      </c>
      <c r="E88" s="112"/>
      <c r="F88" s="68" t="s">
        <v>131</v>
      </c>
      <c r="G88" s="68" t="s">
        <v>131</v>
      </c>
      <c r="H88" s="70"/>
    </row>
    <row r="89" spans="1:8" x14ac:dyDescent="0.25">
      <c r="A89" s="187" t="s">
        <v>380</v>
      </c>
      <c r="B89" s="68">
        <v>11</v>
      </c>
      <c r="C89" s="68">
        <v>11</v>
      </c>
      <c r="D89" s="68">
        <v>11</v>
      </c>
      <c r="E89" s="112"/>
      <c r="F89" s="68" t="s">
        <v>131</v>
      </c>
      <c r="G89" s="112"/>
      <c r="H89" s="70"/>
    </row>
    <row r="90" spans="1:8" x14ac:dyDescent="0.25">
      <c r="A90" s="214" t="s">
        <v>139</v>
      </c>
      <c r="B90" s="215"/>
      <c r="C90" s="215"/>
      <c r="D90" s="215"/>
      <c r="E90" s="215"/>
      <c r="F90" s="215"/>
      <c r="G90" s="215"/>
      <c r="H90" s="215"/>
    </row>
    <row r="91" spans="1:8" x14ac:dyDescent="0.25">
      <c r="A91" s="214" t="s">
        <v>140</v>
      </c>
      <c r="B91" s="215"/>
      <c r="C91" s="215"/>
      <c r="D91" s="215"/>
      <c r="E91" s="215"/>
      <c r="F91" s="215"/>
      <c r="G91" s="215"/>
      <c r="H91" s="215"/>
    </row>
    <row r="92" spans="1:8" x14ac:dyDescent="0.25">
      <c r="A92" s="240"/>
      <c r="B92" s="77"/>
      <c r="C92" s="77"/>
      <c r="D92" s="77"/>
      <c r="E92" s="77"/>
      <c r="F92" s="77"/>
      <c r="G92" s="77"/>
      <c r="H92" s="77"/>
    </row>
    <row r="93" spans="1:8" ht="15.75" thickBot="1" x14ac:dyDescent="0.3">
      <c r="A93" s="213" t="s">
        <v>167</v>
      </c>
      <c r="B93" s="213"/>
      <c r="C93" s="213"/>
      <c r="D93" s="213"/>
      <c r="E93" s="213"/>
      <c r="F93" s="213"/>
      <c r="G93" s="213"/>
      <c r="H93" s="213"/>
    </row>
    <row r="94" spans="1:8" x14ac:dyDescent="0.25">
      <c r="A94" s="72" t="s">
        <v>386</v>
      </c>
      <c r="B94" s="208" t="s">
        <v>324</v>
      </c>
      <c r="C94" s="209"/>
      <c r="D94" s="209"/>
      <c r="E94" s="209"/>
      <c r="H94" s="147" t="s">
        <v>325</v>
      </c>
    </row>
    <row r="95" spans="1:8" x14ac:dyDescent="0.25">
      <c r="A95" s="73" t="s">
        <v>2</v>
      </c>
      <c r="B95" s="74" t="s">
        <v>3</v>
      </c>
      <c r="C95" s="74" t="s">
        <v>4</v>
      </c>
      <c r="D95" s="74" t="s">
        <v>5</v>
      </c>
      <c r="E95" s="74" t="s">
        <v>6</v>
      </c>
      <c r="F95" s="74" t="s">
        <v>124</v>
      </c>
      <c r="G95" s="74" t="s">
        <v>125</v>
      </c>
      <c r="H95" s="74" t="s">
        <v>123</v>
      </c>
    </row>
    <row r="96" spans="1:8" x14ac:dyDescent="0.25">
      <c r="A96" s="86" t="s">
        <v>147</v>
      </c>
      <c r="B96" s="65">
        <f>IF(B9=M3,"5",IF(B9=M4,"10",IF(B9=M5,"13",IF(B9=M6,"20",IF(B9=M7,25,IF(B9=M8,17,IF(B9=M9,22,IF(B9=M10,27,IF(B9=M11,30,IF(B9=M12,30,IF(B9=M13,30,IF(B9=M14,35,0))))))))))))</f>
        <v>0</v>
      </c>
      <c r="C96" s="65">
        <f>IF(B9=M3,"6",IF(B9=M4,"12",IF(B9=M5,"15",IF(B9=M6,"25",IF(B9=M7,29,IF(B9=M8,19,IF(B9=M9,24,IF(B9=M10,29,IF(B9=M11,34,IF(B9=M12,39,IF(B9=M13,44,IF(B9=M14,49,0))))))))))))</f>
        <v>0</v>
      </c>
      <c r="D96" s="65">
        <f>IF(B9=M3,"4",IF(B9=M4,"9",IF(B9=M5,"11",IF(B9=M6,"20",IF(B9=M7,25,IF(B9=M8,15,IF(B9=M9,20,IF(B9=M10,25,IF(B9=M11,30,IF(B9=M12,35,IF(B9=M13,40,IF(B9=M14,45,0))))))))))))</f>
        <v>0</v>
      </c>
      <c r="E96" s="65">
        <f>IF(B9=M3,"Max de répétitions et minimum 7",IF(B9=M4,"Max de répétitions et minimum 13",IF(B9=M5,"Max de répétitions et minimum 17",IF(B9=M6,"Max de répétitions et minimum 23",IF(B9=M7,"Max de répétitions et minimum 30",IF(B9=M8,"Max de répétitions et minimum 20",IF(B9=M9,"Max de répétitions et minimum 25",IF(B9=M10,"Max de répétitions et minimum 35",IF(B9=M11,"Max de répétitions et minimum 40",IF(B9=M12,"Max de répétitions et minimum 42",IF(B9=M13,"Max de répétitions et minimum 55",IF(B9=M14,"Max de répétitions et minimum 55",0))))))))))))</f>
        <v>0</v>
      </c>
      <c r="F96" s="68" t="s">
        <v>128</v>
      </c>
      <c r="G96" s="68" t="s">
        <v>128</v>
      </c>
      <c r="H96" s="70"/>
    </row>
    <row r="97" spans="1:8" x14ac:dyDescent="0.25">
      <c r="A97" s="79" t="s">
        <v>148</v>
      </c>
      <c r="B97" s="68">
        <f>IF(B10=N3,"5",IF(B10=N4,"7",IF(B10=N5,"3",IF(B10=N6,"6",IF(B10=N7,8,IF(B10=N8,11,IF(B10=N9,14,IF(B10=N10,18,IF(B10=N11,25,IF(B10=N12,26,IF(B10=N13,26,0)))))))))))</f>
        <v>0</v>
      </c>
      <c r="C97" s="68">
        <f>IF(B10=N3,"10",IF(B10=N4,"12",IF(B10=N5,"4",IF(B10=N6,"9",IF(B10=N7,11,IF(B10=N8,15,IF(B10=N9,20,IF(B10=N10,25,IF(B10=N11,29,IF(B10=N12,31,IF(B10=N13,32,0)))))))))))</f>
        <v>0</v>
      </c>
      <c r="D97" s="68">
        <f>IF(B10=N3,"8",IF(B10=N4,"10",IF(B10=N5,"3",IF(B10=N6,"6",IF(B10=N7,8,IF(B10=N8,11,IF(B10=N9,14,IF(B10=N10,18,IF(B10=N11,25,IF(B10=N12,26,IF(B10=N13,26,0)))))))))))</f>
        <v>0</v>
      </c>
      <c r="E97" s="68">
        <f>IF(B10=N3,"8",IF(B10=N4,"10",IF(B10=N5,"Max de répétitions et minimum 5",IF(B10=N6,"Max de répétitions et minimum 8",IF(B10=N7,"Max de répétitions et minimum 10",IF(B10=N8,"Max de répétitions et minimum 13",IF(B10=N9,"Max de répétitions et minimum 20",IF(B10=N10,"Max de répétitions et minimum 22",IF(B10=N11,"Max de répétitions et minimum 27",IF(B10=N12,"Max de répétitions et minimum 31",IF(B10=N13,"Max de répétitions et minimum 31",0)))))))))))</f>
        <v>0</v>
      </c>
      <c r="F97" s="68" t="s">
        <v>128</v>
      </c>
      <c r="G97" s="68" t="s">
        <v>128</v>
      </c>
      <c r="H97" s="69" t="str">
        <f>IF(OR(B10=N3,B10=N4),"Toutes les répétitions en excentrique : voir vidéo","")</f>
        <v/>
      </c>
    </row>
    <row r="98" spans="1:8" x14ac:dyDescent="0.25">
      <c r="A98" s="86" t="s">
        <v>379</v>
      </c>
      <c r="B98" s="68">
        <f>IF(B11=M3,"5",IF(B11=M4,"10",IF(B11=M5,"13",IF(B11=M6,"20",IF(B11=M7,25,IF(B11=M8,17,IF(B11=M9,22,IF(B11=M10,27,IF(B11=M11,30,IF(B11=M12,30,IF(B11=M13,30,IF(B11=M14,35,0))))))))))))</f>
        <v>0</v>
      </c>
      <c r="C98" s="68">
        <f>IF(B11=M3,"6",IF(B11=M4,"12",IF(B11=M5,"15",IF(B11=M6,"25",IF(B11=M7,29,IF(B11=M8,19,IF(B11=M9,24,IF(B11=M10,29,IF(B11=M11,34,IF(B11=M12,39,IF(B11=M13,44,IF(B11=M14,49,0))))))))))))</f>
        <v>0</v>
      </c>
      <c r="D98" s="68">
        <f>IF(B11=M3,"4",IF(B11=M4,"9",IF(B11=M5,"11",IF(B11=M6,"20",IF(B11=M7,25,IF(B11=M8,15,IF(B11=M9,20,IF(B11=M10,25,IF(B11=M11,30,IF(B11=M12,35,IF(B11=M13,40,IF(B11=M14,45,0))))))))))))</f>
        <v>0</v>
      </c>
      <c r="E98" s="68">
        <f>IF(B11=M3,"Max de répétitions et minimum 7",IF(B11=M4,"Max de répétitions et minimum 13",IF(B11=M5,"Max de répétitions et minimum 17",IF(B11=M6,"Max de répétitions et minimum 23",IF(B11=M7,"Max de répétitions et minimum 30",IF(B11=M8,"Max de répétitions et minimum 20",IF(B11=M9,"Max de répétitions et minimum 25",IF(B11=M10,"Max de répétitions et minimum 35",IF(B11=M11,"Max de répétitions et minimum 40",IF(B11=M12,"Max de répétitions et minimum 42",IF(B11=M13,"Max de répétitions et minimum 55",IF(B11=M14,"Max de répétitions et minimum 55",0))))))))))))</f>
        <v>0</v>
      </c>
      <c r="F98" s="68" t="s">
        <v>128</v>
      </c>
      <c r="G98" s="68" t="s">
        <v>128</v>
      </c>
      <c r="H98" s="69"/>
    </row>
    <row r="99" spans="1:8" x14ac:dyDescent="0.25">
      <c r="A99" s="79" t="s">
        <v>157</v>
      </c>
      <c r="B99" s="68">
        <f>IF(B12=N3,"5",IF(B12=N4,"7",IF(B12=N5,"3",IF(B12=N6,"6",IF(B12=N7,8,IF(B12=N8,11,IF(B12=N9,14,IF(B12=N10,18,IF(B12=N11,25,IF(B12=N12,26,IF(B12=N13,26,0)))))))))))</f>
        <v>0</v>
      </c>
      <c r="C99" s="68">
        <f>IF(B12=N3,"5",IF(B12=N4,"6",IF(B12=N5,"4",IF(B12=N6,"9",IF(B12=N7,11,IF(B12=N8,15,IF(B12=N9,20,IF(B12=N10,25,IF(B12=N11,29,IF(B12=N12,31,IF(B12=N13,32,0)))))))))))</f>
        <v>0</v>
      </c>
      <c r="D99" s="68">
        <f>IF(B12=N3,"Max de répétitions",IF(B12=N4,"Max de répétitions",IF(B12=N5,"Max de répétitions et minimum 5",IF(B12=N6,"Max de répétitions et minimum 8",IF(B12=N7,"Max de répétitions et minimum 10",IF(B12=N8,"Max de répétitions et minimum 13",IF(B12=N9,"Max de répétitions et minimum 20",IF(B12=N10,"Max de répétitions et minimum 22",IF(B12=N11,"Max de répétitions et minimum 27",IF(B12=N12,"Max de répétitions et minimum 31",IF(B12=N13,"Max de répétitions et minimum 31",0)))))))))))</f>
        <v>0</v>
      </c>
      <c r="E99" s="112"/>
      <c r="F99" s="68" t="s">
        <v>131</v>
      </c>
      <c r="G99" s="68" t="s">
        <v>131</v>
      </c>
      <c r="H99" s="70"/>
    </row>
    <row r="100" spans="1:8" x14ac:dyDescent="0.25">
      <c r="A100" s="187" t="s">
        <v>380</v>
      </c>
      <c r="B100" s="68">
        <v>12</v>
      </c>
      <c r="C100" s="68">
        <v>12</v>
      </c>
      <c r="D100" s="68">
        <v>12</v>
      </c>
      <c r="E100" s="78"/>
      <c r="F100" s="68" t="s">
        <v>131</v>
      </c>
      <c r="G100" s="78"/>
      <c r="H100" s="13"/>
    </row>
    <row r="101" spans="1:8" ht="15.75" thickBot="1" x14ac:dyDescent="0.3">
      <c r="A101" s="88" t="s">
        <v>384</v>
      </c>
      <c r="B101" s="219" t="s">
        <v>324</v>
      </c>
      <c r="C101" s="220"/>
      <c r="D101" s="220"/>
      <c r="E101" s="220"/>
      <c r="H101" s="147" t="s">
        <v>325</v>
      </c>
    </row>
    <row r="102" spans="1:8" x14ac:dyDescent="0.25">
      <c r="A102" s="60" t="s">
        <v>2</v>
      </c>
      <c r="B102" s="74" t="s">
        <v>3</v>
      </c>
      <c r="C102" s="74" t="s">
        <v>4</v>
      </c>
      <c r="D102" s="74" t="s">
        <v>5</v>
      </c>
      <c r="E102" s="74" t="s">
        <v>6</v>
      </c>
      <c r="F102" s="74" t="s">
        <v>124</v>
      </c>
      <c r="G102" s="74" t="s">
        <v>125</v>
      </c>
      <c r="H102" s="74" t="s">
        <v>123</v>
      </c>
    </row>
    <row r="103" spans="1:8" x14ac:dyDescent="0.25">
      <c r="A103" s="79" t="s">
        <v>155</v>
      </c>
      <c r="B103" s="71">
        <f>IF(B16=N3,"4",IF(B16=N4,"6",IF(B16=N5,"3",IF(B16=N6,"5",IF(B16=N7,7,IF(B16=N8,9,IF(B16=N9,13,IF(B16=N10,17,IF(B16=N11,23,IF(B16=N12,25,IF(B16=N13,25,0)))))))))))</f>
        <v>0</v>
      </c>
      <c r="C103" s="65">
        <f>IF(B16=N3,"9",IF(B16=N4,"10",IF(B16=N5,"4",IF(B16=N6,"7",IF(B16=N7,10,IF(B16=N8,13,IF(B16=N9,16,IF(B16=N10,21,IF(B16=N11,26,IF(B16=N12,29,IF(B16=N13,30,0)))))))))))</f>
        <v>0</v>
      </c>
      <c r="D103" s="65">
        <f>IF(B16=N3,"6",IF(B16=N4,"8",IF(B16=N5,"2",IF(B16=N6,"5",IF(B16=N7,6,IF(B16=N8,9,IF(B16=N9,12,IF(B16=N10,16,IF(B16=N11,23,IF(B16=N12,24,IF(B16=N13,25,0)))))))))))</f>
        <v>0</v>
      </c>
      <c r="E103" s="71">
        <f>IF(B16=N3,"6",IF(B16=N4,"8",IF(B16=N5,"Max de répétitions et minimum 4",IF(B16=N6,"Max de répétitions et minimum 6",IF(B16=N7,"Max de répétitions et minimum 9",IF(B16=N8,"Max de répétitions et minimum 12",IF(B16=N9,"Max de répétitions et minimum 16",IF(B16=N10,"Max de répétitions et minimum 20",IF(B16=N11,"Max de répétitions et minimum 25",IF(B16=N12,"Max de répétitions et minimum 29",IF(B16=N13,"Max de répétitions et minimum 29",0)))))))))))</f>
        <v>0</v>
      </c>
      <c r="F103" s="68" t="s">
        <v>128</v>
      </c>
      <c r="G103" s="68" t="s">
        <v>127</v>
      </c>
      <c r="H103" s="67" t="str">
        <f>IF(OR(B16=N3,B16=N4),"Toutes les répétitions en excentrique","")</f>
        <v/>
      </c>
    </row>
    <row r="104" spans="1:8" x14ac:dyDescent="0.25">
      <c r="A104" s="79" t="s">
        <v>328</v>
      </c>
      <c r="B104" s="65">
        <f>IF(B17=N3,"4",IF(B17=N4,"6",IF(B17=N5,"3",IF(B17=N6,"5",IF(B17=N7,7,IF(B17=N8,9,IF(B17=N9,13,IF(B17=N10,17,IF(B17=N11,23,IF(B17=N12,25,IF(B17=N13,25,0)))))))))))</f>
        <v>0</v>
      </c>
      <c r="C104" s="68">
        <f>IF(B17=N3,"4",IF(B17=N4,"5",IF(B17=N5,"4",IF(B17=N6,"7",IF(B17=N7,10,IF(B17=N8,13,IF(B17=N9,16,IF(B17=N10,21,IF(B17=N11,26,IF(B17=N12,29,IF(B17=N13,30,0)))))))))))</f>
        <v>0</v>
      </c>
      <c r="D104" s="68">
        <f>IF(B17=N3,"3",IF(B17=N4,"4",IF(B17=N5,"2",IF(B17=N6,"5",IF(B17=N7,6,IF(B17=N8,9,IF(B17=N9,12,IF(B17=N10,16,IF(B17=N11,23,IF(B17=N12,24,IF(B17=N13,25,0)))))))))))</f>
        <v>0</v>
      </c>
      <c r="E104" s="71">
        <f>IF(B17=N3,"Max de répétitions",IF(B17=N4,"Max de répétitions",IF(B17=N5,"Max de répétitions et minimum 4",IF(B17=N6,"Max de répétitions et minimum 6",IF(B17=N7,"Max de répétitions et minimum 9",IF(B17=N8,"Max de répétitions et minimum 12",IF(B17=N9,"Max de répétitions et minimum 16",IF(B17=N10,"Max de répétitions et minimum 20",IF(B17=N11,"Max de répétitions et minimum 25",IF(B17=N12,"Max de répétitions et minimum 29",IF(B17=N13,"Max de répétitions et minimum 29",0)))))))))))</f>
        <v>0</v>
      </c>
      <c r="F104" s="68" t="s">
        <v>131</v>
      </c>
      <c r="G104" s="68" t="s">
        <v>131</v>
      </c>
      <c r="H104" s="69"/>
    </row>
    <row r="105" spans="1:8" x14ac:dyDescent="0.25">
      <c r="A105" s="79" t="s">
        <v>277</v>
      </c>
      <c r="B105" s="71">
        <f>IF(B18=N3,"4",IF(B18=N4,"6",IF(B18=N5,"3",IF(B18=N6,"5",IF(B18=N7,7,IF(B18=N8,9,IF(B18=N9,13,IF(B18=N10,17,IF(B18=N11,23,IF(B18=N12,25,IF(B18=N13,25,0)))))))))))</f>
        <v>0</v>
      </c>
      <c r="C105" s="68">
        <f>IF(B18=N3,"4",IF(B18=N4,"5",IF(B18=N5,"4",IF(B18=N6,"7",IF(B18=N7,10,IF(B18=N8,13,IF(B18=N9,16,IF(B18=N10,21,IF(B18=N11,26,IF(B18=N12,29,IF(B18=N13,30,0)))))))))))</f>
        <v>0</v>
      </c>
      <c r="D105" s="71">
        <f>IF(B18=N3,"3",IF(B18=N4,"4",IF(B18=N5,"2",IF(B18=N6,"5",IF(B18=N7,6,IF(B18=N8,9,IF(B18=N9,12,IF(B18=N10,16,IF(B18=N11,23,IF(B18=N12,24,IF(B18=N13,25,0)))))))))))</f>
        <v>0</v>
      </c>
      <c r="E105" s="71">
        <f>IF(B18=N3,"Max de répétitions",IF(B18=N4,"Max de répétitions",IF(B18=N5,"Max de répétitions et minimum 4",IF(B18=N6,"Max de répétitions et minimum 6",IF(B18=N7,"Max de répétitions et minimum 9",IF(B18=N8,"Max de répétitions et minimum 12",IF(B18=N9,"Max de répétitions et minimum 16",IF(B18=N10,"Max de répétitions et minimum 20",IF(B18=N11,"Max de répétitions et minimum 25",IF(B18=N12,"Max de répétitions et minimum 29",IF(B18=N13,"Max de répétitions et minimum 29",0)))))))))))</f>
        <v>0</v>
      </c>
      <c r="F105" s="68" t="s">
        <v>131</v>
      </c>
      <c r="G105" s="68" t="s">
        <v>131</v>
      </c>
      <c r="H105" s="76"/>
    </row>
    <row r="106" spans="1:8" x14ac:dyDescent="0.25">
      <c r="A106" s="79" t="s">
        <v>327</v>
      </c>
      <c r="B106" s="68">
        <f>IF(B19=N3,"4",IF(B19=N4,"6",IF(B19=N5,"3",IF(B19=N6,"5",IF(B19=N7,7,IF(B19=N8,9,IF(B19=N9,13,IF(B19=N10,17,IF(B19=N11,23,IF(B19=N12,25,IF(B19=N13,25,0)))))))))))</f>
        <v>0</v>
      </c>
      <c r="C106" s="68">
        <f>IF(B19=N3,"4",IF(B19=N4,"5",IF(B19=N5,"4",IF(B19=N6,"7",IF(B19=N7,10,IF(B19=N8,13,IF(B19=N9,16,IF(B19=N10,21,IF(B19=N11,26,IF(B19=N12,29,IF(B19=N13,30,0)))))))))))</f>
        <v>0</v>
      </c>
      <c r="D106" s="68">
        <f>IF(B19=N3,"Max de répétitions",IF(B19=N4,"Max de répétitions",IF(B19=N5,"Max de répétitions et minimum 4",IF(B19=N6,"Max de répétitions et minimum 6",IF(B19=N7,"Max de répétitions et minimum 9",IF(B19=N8,"Max de répétitions et minimum 12",IF(B19=N9,"Max de répétitions et minimum 16",IF(B19=N10,"Max de répétitions et minimum 20",IF(B19=N11,"Max de répétitions et minimum 25",IF(B19=N12,"Max de répétitions et minimum 29",IF(B19=N13,"Max de répétitions et minimum 29",0)))))))))))</f>
        <v>0</v>
      </c>
      <c r="E106" s="112"/>
      <c r="F106" s="68" t="s">
        <v>131</v>
      </c>
      <c r="G106" s="112"/>
      <c r="H106" s="70"/>
    </row>
    <row r="107" spans="1:8" x14ac:dyDescent="0.25">
      <c r="A107" s="214" t="s">
        <v>152</v>
      </c>
      <c r="B107" s="215"/>
      <c r="C107" s="215"/>
      <c r="D107" s="215"/>
      <c r="E107" s="215"/>
      <c r="F107" s="215"/>
      <c r="G107" s="215"/>
      <c r="H107" s="215"/>
    </row>
    <row r="108" spans="1:8" ht="15.75" thickBot="1" x14ac:dyDescent="0.3">
      <c r="A108" s="88" t="s">
        <v>385</v>
      </c>
      <c r="B108" s="219" t="s">
        <v>324</v>
      </c>
      <c r="C108" s="220"/>
      <c r="D108" s="220"/>
      <c r="E108" s="220"/>
      <c r="H108" s="147" t="s">
        <v>325</v>
      </c>
    </row>
    <row r="109" spans="1:8" x14ac:dyDescent="0.25">
      <c r="A109" s="60" t="s">
        <v>2</v>
      </c>
      <c r="B109" s="74" t="s">
        <v>3</v>
      </c>
      <c r="C109" s="74" t="s">
        <v>4</v>
      </c>
      <c r="D109" s="74" t="s">
        <v>5</v>
      </c>
      <c r="E109" s="74" t="s">
        <v>6</v>
      </c>
      <c r="F109" s="74" t="s">
        <v>124</v>
      </c>
      <c r="G109" s="74" t="s">
        <v>125</v>
      </c>
      <c r="H109" s="74" t="s">
        <v>123</v>
      </c>
    </row>
    <row r="110" spans="1:8" x14ac:dyDescent="0.25">
      <c r="A110" s="79" t="s">
        <v>302</v>
      </c>
      <c r="B110" s="65">
        <f>IF(B22=O3,"8",IF(B22=O4,"12",IF(B22=O5,"18",IF(B22=O6,"22",IF(B22=O7,28,IF(B22=O8,34,IF(B22=O9,40,IF(B22=O10,46,IF(B22=O11,52,IF(B22=O12,58,IF(B22=O13,50,IF(B22=O14,54,IF(B22=O15,60,IF(B22=O16,64,0))))))))))))))</f>
        <v>0</v>
      </c>
      <c r="C110" s="65">
        <f>IF(B22=O3,"6",IF(B22=O4,"10",IF(B22=O5,"18",IF(B22=O6,"24",IF(B22=O7,26,IF(B22=O8,32,IF(B22=O9,38,IF(B22=O10,46,IF(B22=O11,52,IF(B22=O12,54,IF(B22=O13,50,IF(B22=O14,52,IF(B22=O15,60,IF(B22=O16,64,0))))))))))))))</f>
        <v>0</v>
      </c>
      <c r="D110" s="65">
        <f>IF(B22=O3,"7",IF(B22=O4,"11",IF(B22=O5,"16",IF(B22=O6,"22",IF(B22=O7,26,IF(B22=O8,33,IF(B22=O9,39,IF(B22=O10,45,IF(B22=O11,50,IF(B22=O12,54,IF(B22=O13,42,IF(B22=O14,53,IF(B22=O15,55,IF(B22=O16,64,0))))))))))))))</f>
        <v>0</v>
      </c>
      <c r="E110" s="65">
        <f>IF(B22=O3,"Max de répétitions et minimum 8",IF(B22=O4,"Max de répétitions et minimum 12",IF(B22=O5,"Max de répétitions et minimum 18",IF(B22=O6,"Max de répétitions et minimum 24",IF(B22=O7,"Max de répétitions et minimum 30",IF(B22=O8,"Max de répétitions et minimum 36",IF(B22=O9,"Max de répétitions et minimum 42",IF(B22=O10,"Max de répétitions et minimum 46",IF(B22=O11,"Max de répétitions et minimum 52",IF(B22=O12,"Max de répétitions et minimum 60",IF(B22=O13,"Max de répétitions et minimum 50",IF(B22=O14,"Max de répétitions et minimum 56",IF(B22=O15,"Max de répétitions et minimum 62",IF(B22=O16,"Max de répétitions et minimum 64",0))))))))))))))</f>
        <v>0</v>
      </c>
      <c r="F110" s="68" t="s">
        <v>128</v>
      </c>
      <c r="G110" s="68" t="s">
        <v>127</v>
      </c>
      <c r="H110" s="67" t="s">
        <v>387</v>
      </c>
    </row>
    <row r="111" spans="1:8" x14ac:dyDescent="0.25">
      <c r="A111" s="79" t="s">
        <v>166</v>
      </c>
      <c r="B111" s="68">
        <f>IF(B23=N3,"4",IF(B23=N4,"6",IF(B23=N5,"3",IF(B23=N6,"5",IF(B23=N7,7,IF(B23=N8,9,IF(B23=N9,13,IF(B23=N10,17,IF(B23=N11,23,IF(B23=N12,25,IF(B23=N13,25,0)))))))))))</f>
        <v>0</v>
      </c>
      <c r="C111" s="68">
        <f>IF(B23=N3,"4",IF(B23=N4,"5",IF(B23=N5,"4",IF(B23=N6,"7",IF(B23=N7,10,IF(B23=N8,13,IF(B23=N9,16,IF(B23=N10,21,IF(B23=N11,26,IF(B23=N12,29,IF(B23=N13,30,0)))))))))))</f>
        <v>0</v>
      </c>
      <c r="D111" s="68">
        <f>IF(B23=N3,"3",IF(B23=N4,"4",IF(B23=N5,"2",IF(B23=N6,"5",IF(B23=N7,6,IF(B23=N8,9,IF(B23=N9,12,IF(B23=N10,16,IF(B23=N11,23,IF(B23=N12,24,IF(B23=N13,25,0)))))))))))</f>
        <v>0</v>
      </c>
      <c r="E111" s="68">
        <f>IF(B23=N3,"Max de répétitions",IF(B23=N4,"Max de répétitions",IF(B23=N5,"Max de répétitions et minimum 4",IF(B23=N6,"Max de répétitions et minimum 6",IF(B23=N7,"Max de répétitions et minimum 9",IF(B23=N8,"Max de répétitions et minimum 12",IF(B23=N9,"Max de répétitions et minimum 16",IF(B23=N10,"Max de répétitions et minimum 20",IF(B23=N11,"Max de répétitions et minimum 25",IF(B23=N12,"Max de répétitions et minimum 29",IF(B23=N13,"Max de répétitions et minimum 29",0)))))))))))</f>
        <v>0</v>
      </c>
      <c r="F111" s="68" t="s">
        <v>130</v>
      </c>
      <c r="G111" s="68" t="s">
        <v>128</v>
      </c>
      <c r="H111" s="69"/>
    </row>
    <row r="112" spans="1:8" x14ac:dyDescent="0.25">
      <c r="A112" s="79" t="s">
        <v>174</v>
      </c>
      <c r="B112" s="68">
        <f>IF(B24=N3,"4",IF(B24=N4,"6",IF(B24=N5,"3",IF(B24=N6,"5",IF(B24=N7,7,IF(B24=N8,9,IF(B24=N9,13,IF(B24=N10,17,IF(B24=N11,23,IF(B24=N12,25,IF(B24=N13,25,0)))))))))))</f>
        <v>0</v>
      </c>
      <c r="C112" s="68">
        <f>IF(B24=N3,"4",IF(B24=N4,"5",IF(B24=N5,"4",IF(B24=N6,"7",IF(B24=N7,10,IF(B24=N8,13,IF(B24=N9,16,IF(B24=N10,21,IF(B24=N11,26,IF(B24=N12,29,IF(B24=N13,30,0)))))))))))</f>
        <v>0</v>
      </c>
      <c r="D112" s="68">
        <f>IF(B24=N3,"3",IF(B24=N4,"4",IF(B24=N5,"2",IF(B24=N6,"5",IF(B24=N7,6,IF(B24=N8,9,IF(B24=N9,12,IF(B24=N10,16,IF(B24=N11,23,IF(B24=N12,24,IF(B24=N13,25,0)))))))))))</f>
        <v>0</v>
      </c>
      <c r="E112" s="68">
        <f>IF(B24=N3,"Max de répétitions",IF(B24=N4,"Max de répétitions",IF(B24=N5,"Max de répétitions et minimum 4",IF(B24=N6,"Max de répétitions et minimum 6",IF(B24=N7,"Max de répétitions et minimum 9",IF(B24=N8,"Max de répétitions et minimum 12",IF(B24=N9,"Max de répétitions et minimum 16",IF(B24=N10,"Max de répétitions et minimum 20",IF(B24=N11,"Max de répétitions et minimum 25",IF(B24=N12,"Max de répétitions et minimum 29",IF(B24=N13,"Max de répétitions et minimum 29",0)))))))))))</f>
        <v>0</v>
      </c>
      <c r="F112" s="68" t="s">
        <v>130</v>
      </c>
      <c r="G112" s="68" t="s">
        <v>128</v>
      </c>
      <c r="H112" s="69"/>
    </row>
    <row r="113" spans="1:8" x14ac:dyDescent="0.25">
      <c r="A113" s="79" t="s">
        <v>171</v>
      </c>
      <c r="B113" s="68">
        <f>IF(B25=M3,"4",IF(B25=M4,"8",IF(B25=M5,"11",IF(B25=M6,"16",IF(B25=M7,20,IF(B25=M8,13,IF(B25=M9,18,IF(B25=M10,20,IF(B25=M11,20,IF(B25=M12,22,IF(B25=M13,26,IF(B25=M14,28,0))))))))))))</f>
        <v>0</v>
      </c>
      <c r="C113" s="68">
        <f>IF(B25=M3,"5",IF(B25=M4,"10",IF(B25=M5,"13",IF(B25=M6,"21",IF(B25=M7,27,IF(B25=M8,13,IF(B25=M9,20,IF(B25=M10,24,IF(B25=M11,27,IF(B25=M12,30,IF(B25=M13,33,IF(B25=M14,35,0))))))))))))</f>
        <v>0</v>
      </c>
      <c r="D113" s="68">
        <f>IF(B25=M3,"Max de répétitions et minimum 5",IF(B25=M4,"Max de répétitions et minimum 10",IF(B25=M5,"Max de répétitions et minimum 13",IF(B25=M6,"Max de répétitions et minimum 21",IF(B25=M7,"Max de répétitions et minimum 25",IF(B25=M8,"Max de répétitions et minimum 30",IF(B25=M9,"Max de répétitions et minimum 35",IF(B25=M10,"Max de répétitions et minimum 40",IF(B25=M11,"Max de répétitions et minimum 44",IF(B25=M12,"Max de répétitions et minimum 55",IF(B25=M13,"Max de répétitions et minimum 60",IF(B25=M14,"Max de répétitions et minimum 60",0))))))))))))</f>
        <v>0</v>
      </c>
      <c r="E113" s="112"/>
      <c r="F113" s="68" t="s">
        <v>173</v>
      </c>
      <c r="G113" s="68" t="s">
        <v>131</v>
      </c>
      <c r="H113" s="70"/>
    </row>
    <row r="114" spans="1:8" ht="15.75" thickBot="1" x14ac:dyDescent="0.3">
      <c r="A114" s="79" t="s">
        <v>161</v>
      </c>
      <c r="B114" s="68">
        <f>IF(B26=N3,"4",IF(B26=N4,"6",IF(B26=N5,"3",IF(B26=N6,"5",IF(B26=N7,7,IF(B26=N8,9,IF(B26=N9,13,IF(B26=N10,17,IF(B26=N11,23,IF(B26=N12,25,IF(B26=N13,25,0)))))))))))</f>
        <v>0</v>
      </c>
      <c r="C114" s="68">
        <f>IF(B26=N3,"4",IF(B26=N4,"5",IF(B26=N5,"4",IF(B26=N6,"7",IF(B26=N7,10,IF(B26=N8,13,IF(B26=N9,16,IF(B26=N10,21,IF(B26=N11,26,IF(B26=N12,29,IF(B26=N13,30,0)))))))))))</f>
        <v>0</v>
      </c>
      <c r="D114" s="68">
        <f>IF(B26=N3,"Max de répétitions",IF(B26=N4,"Max de répétitions",IF(B26=N5,"Max de répétitions et minimum 4",IF(B26=N6,"Max de répétitions et minimum 6",IF(B26=N7,"Max de répétitions et minimum 9",IF(B26=N8,"Max de répétitions et minimum 12",IF(B26=N9,"Max de répétitions et minimum 16",IF(B26=N10,"Max de répétitions et minimum 20",IF(B26=N11,"Max de répétitions et minimum 25",IF(B26=N12,"Max de répétitions et minimum 29",IF(B26=N13,"Max de répétitions et minimum 29",0)))))))))))</f>
        <v>0</v>
      </c>
      <c r="E114" s="112"/>
      <c r="F114" s="68" t="s">
        <v>131</v>
      </c>
      <c r="G114" s="112"/>
      <c r="H114" s="70"/>
    </row>
    <row r="115" spans="1:8" x14ac:dyDescent="0.25">
      <c r="A115" s="72" t="s">
        <v>386</v>
      </c>
      <c r="B115" s="208" t="s">
        <v>324</v>
      </c>
      <c r="C115" s="209"/>
      <c r="D115" s="209"/>
      <c r="E115" s="209"/>
      <c r="H115" s="147" t="s">
        <v>325</v>
      </c>
    </row>
    <row r="116" spans="1:8" x14ac:dyDescent="0.25">
      <c r="A116" s="73" t="s">
        <v>2</v>
      </c>
      <c r="B116" s="74" t="s">
        <v>3</v>
      </c>
      <c r="C116" s="74" t="s">
        <v>4</v>
      </c>
      <c r="D116" s="74" t="s">
        <v>5</v>
      </c>
      <c r="E116" s="74" t="s">
        <v>6</v>
      </c>
      <c r="F116" s="74" t="s">
        <v>124</v>
      </c>
      <c r="G116" s="74" t="s">
        <v>125</v>
      </c>
      <c r="H116" s="74" t="s">
        <v>123</v>
      </c>
    </row>
    <row r="117" spans="1:8" x14ac:dyDescent="0.25">
      <c r="A117" s="86" t="s">
        <v>147</v>
      </c>
      <c r="B117" s="65">
        <f>IF(B9=M3,"5",IF(B9=M4,"12",IF(B9=M5,"14",IF(B9=M6,"23",IF(B9=M7,29,IF(B9=M8,10,IF(B9=M9,15,IF(B9=M10,19,IF(B9=M11,19,IF(B9=M12,20,IF(B9=M13,22,IF(B9=M14,22,0))))))))))))</f>
        <v>0</v>
      </c>
      <c r="C117" s="65">
        <f>IF(B9=M3,"7",IF(B9=M4,"13",IF(B9=M5,"16",IF(B9=M6,"28",IF(B9=M7,33,IF(B9=M8,13,IF(B9=M9,18,IF(B9=M10,22,IF(B9=M11,23,IF(B9=M12,23,IF(B9=M13,27,IF(B9=M14,30,0))))))))))))</f>
        <v>0</v>
      </c>
      <c r="D117" s="65">
        <f>IF(B9=M3,"5",IF(B9=M4,"10",IF(B9=M5,"13",IF(B9=M6,"22",IF(B9=M7,29,IF(B9=M8,15,IF(B9=M9,20,IF(B9=M10,24,IF(B9=M11,27,IF(B9=M12,30,IF(B9=M13,33,IF(B9=M14,35,0))))))))))))</f>
        <v>0</v>
      </c>
      <c r="E117" s="65">
        <f>IF(B9=M3,"Max de répétitions et minimum 7",IF(B9=M4,"Max de répétitions et minimum 15",IF(B9=M5,"Max de répétitions et minimum 19",IF(B9=M6,"Max de répétitions et minimum 25",IF(B9=M7,"Max de répétitions et minimum 33",IF(B9=M8,"Max de répétitions et minimum 25",IF(B9=M9,"Max de répétitions et minimum 30",IF(B9=M10,"Max de répétitions et minimum 35",IF(B9=M11,"Max de répétitions et minimum 37",IF(B9=M12,"Max de répétitions et minimum 53",IF(B9=M13,"Max de répétitions et minimum 58",IF(B9=M14,"Max de répétitions et minimum 59",0))))))))))))</f>
        <v>0</v>
      </c>
      <c r="F117" s="68" t="s">
        <v>128</v>
      </c>
      <c r="G117" s="68" t="s">
        <v>128</v>
      </c>
      <c r="H117" s="110" t="str">
        <f>IF(B41&gt;M39,"Refaire le test : 1 x max et mettre à jour l'onglet résultat du test","")</f>
        <v/>
      </c>
    </row>
    <row r="118" spans="1:8" x14ac:dyDescent="0.25">
      <c r="A118" s="79" t="s">
        <v>148</v>
      </c>
      <c r="B118" s="68">
        <f>IF(B10=N3,"6",IF(B10=N4,"8",IF(B10=N5,"4",IF(B10=N6,"6",IF(B10=N7,9,IF(B10=N8,12,IF(B10=N9,15,IF(B10=N10,19,IF(B10=N11,25,IF(B10=N12,26,IF(B10=N13,27,0)))))))))))</f>
        <v>0</v>
      </c>
      <c r="C118" s="68">
        <f>IF(B10=N3,"10",IF(B10=N4,"14",IF(B10=N5,"5",IF(B10=N6,"9",IF(B10=N7,11,IF(B10=N8,15,IF(B10=N9,20,IF(B10=N10,25,IF(B10=N11,29,IF(B10=N12,31,IF(B10=N13,32,0)))))))))))</f>
        <v>0</v>
      </c>
      <c r="D118" s="68">
        <f>IF(B10=N3,"8",IF(B10=N4,"11",IF(B10=N5,"4",IF(B10=N6,"6",IF(B10=N7,9,IF(B10=N8,11,IF(B10=N9,14,IF(B10=N10,18,IF(B10=N11,25,IF(B10=N12,26,IF(B10=N13,26,0)))))))))))</f>
        <v>0</v>
      </c>
      <c r="E118" s="68">
        <f>IF(B10=N3,"9",IF(B10=N4,"11",IF(B10=N5,"Max de répétitions et minimum 6",IF(B10=N6,"Max de répétitions et minimum 10",IF(B10=N7,"Max de répétitions et minimum 11",IF(B10=N8,"Max de répétitions et minimum 13",IF(B10=N9,"Max de répétitions et minimum 24",IF(B10=N10,"Max de répétitions et minimum 24",IF(B10=N11,"Max de répétitions et minimum 28",IF(B10=N12,"Max de répétitions et minimum 31",IF(B10=N13,"Max de répétitions et minimum 32",0)))))))))))</f>
        <v>0</v>
      </c>
      <c r="F118" s="68" t="s">
        <v>128</v>
      </c>
      <c r="G118" s="68" t="s">
        <v>128</v>
      </c>
      <c r="H118" s="69" t="str">
        <f>IF(OR(B10=N3,B10=N4),"Toutes les répétitions en excentrique : voir vidéo","")</f>
        <v/>
      </c>
    </row>
    <row r="119" spans="1:8" x14ac:dyDescent="0.25">
      <c r="A119" s="86" t="s">
        <v>379</v>
      </c>
      <c r="B119" s="68">
        <f>IF(B11=M3,"5",IF(B11=M4,"12",IF(B11=M5,"14",IF(B11=M6,"23",IF(B11=M7,29,IF(B11=M8,10,IF(B11=M9,15,IF(B11=M10,19,IF(B11=M11,19,IF(B11=M12,20,IF(B11=M13,22,IF(B11=M14,22,0))))))))))))</f>
        <v>0</v>
      </c>
      <c r="C119" s="68">
        <f>IF(B11=M3,"7",IF(B11=M4,"13",IF(B11=M5,"16",IF(B11=M6,"28",IF(B11=M7,33,IF(B11=M8,13,IF(B11=M9,18,IF(B11=M10,22,IF(B11=M11,23,IF(B11=M12,23,IF(B11=M13,27,IF(B11=M14,30,0))))))))))))</f>
        <v>0</v>
      </c>
      <c r="D119" s="68">
        <f>IF(B11=M3,"5",IF(B11=M4,"10",IF(B11=M5,"13",IF(B11=M6,"22",IF(B11=M7,29,IF(B11=M8,15,IF(B11=M9,20,IF(B11=M10,24,IF(B11=M11,27,IF(B11=M12,30,IF(B11=M13,33,IF(B11=M14,35,0))))))))))))</f>
        <v>0</v>
      </c>
      <c r="E119" s="68">
        <f>IF(B11=M3,"Max de répétitions et minimum 7",IF(B11=M4,"Max de répétitions et minimum 15",IF(B11=M5,"Max de répétitions et minimum 19",IF(B11=M6,"Max de répétitions et minimum 25",IF(B11=M7,"Max de répétitions et minimum 33",IF(B11=M8,"Max de répétitions et minimum 25",IF(B11=M9,"Max de répétitions et minimum 30",IF(B11=M10,"Max de répétitions et minimum 35",IF(B11=M11,"Max de répétitions et minimum 37",IF(B11=M12,"Max de répétitions et minimum 53",IF(B11=M13,"Max de répétitions et minimum 58",IF(B11=M14,"Max de répétitions et minimum 59",0))))))))))))</f>
        <v>0</v>
      </c>
      <c r="F119" s="68" t="s">
        <v>128</v>
      </c>
      <c r="G119" s="68" t="s">
        <v>128</v>
      </c>
      <c r="H119" s="109" t="str">
        <f>IF(B43&gt;M39,"Refaire le test : 1 x max et mettre à jour l'onglet résultat du test","")</f>
        <v/>
      </c>
    </row>
    <row r="120" spans="1:8" x14ac:dyDescent="0.25">
      <c r="A120" s="79" t="s">
        <v>157</v>
      </c>
      <c r="B120" s="68">
        <f>IF(B12=N3,"6",IF(B12=N4,"8",IF(B12=N5,"4",IF(B12=N6,"6",IF(B12=N7,9,IF(B12=N8,12,IF(B12=N9,15,IF(B12=N10,19,IF(B12=N11,25,IF(B12=N12,26,IF(B12=N13,27,0)))))))))))</f>
        <v>0</v>
      </c>
      <c r="C120" s="68">
        <f>IF(B12=N3,"5",IF(B12=N4,"7",IF(B12=N5,"5",IF(B12=N6,"9",IF(B12=N7,11,IF(B12=N8,15,IF(B12=N9,20,IF(B12=N10,25,IF(B12=N11,29,IF(B12=N12,31,IF(B12=N13,32,0)))))))))))</f>
        <v>0</v>
      </c>
      <c r="D120" s="68">
        <f>IF(B12=N3,"Max de répétitions",IF(B12=N4,"Max de répétitions",IF(B12=N5,"Max de répétitions et minimum 6",IF(B12=N6,"Max de répétitions et minimum 10",IF(B12=N7,"Max de répétitions et minimum 11",IF(B12=N8,"Max de répétitions et minimum 13",IF(B12=N9,"Max de répétitions et minimum 24",IF(B12=N10,"Max de répétitions et minimum 24",IF(B12=N11,"Max de répétitions et minimum 28",IF(B12=N12,"Max de répétitions et minimum 31",IF(B12=N13,"Max de répétitions et minimum 32",0)))))))))))</f>
        <v>0</v>
      </c>
      <c r="E120" s="112"/>
      <c r="F120" s="68" t="s">
        <v>131</v>
      </c>
      <c r="G120" s="68" t="s">
        <v>131</v>
      </c>
      <c r="H120" s="70"/>
    </row>
    <row r="121" spans="1:8" x14ac:dyDescent="0.25">
      <c r="A121" s="187" t="s">
        <v>380</v>
      </c>
      <c r="B121" s="68">
        <v>13</v>
      </c>
      <c r="C121" s="68">
        <v>13</v>
      </c>
      <c r="D121" s="68">
        <v>13</v>
      </c>
      <c r="E121" s="112"/>
      <c r="F121" s="68" t="s">
        <v>131</v>
      </c>
      <c r="G121" s="112"/>
      <c r="H121" s="70"/>
    </row>
    <row r="122" spans="1:8" x14ac:dyDescent="0.25">
      <c r="A122" s="214" t="s">
        <v>139</v>
      </c>
      <c r="B122" s="215"/>
      <c r="C122" s="215"/>
      <c r="D122" s="215"/>
      <c r="E122" s="215"/>
      <c r="F122" s="215"/>
      <c r="G122" s="215"/>
      <c r="H122" s="215"/>
    </row>
    <row r="123" spans="1:8" x14ac:dyDescent="0.25">
      <c r="A123" s="214" t="s">
        <v>140</v>
      </c>
      <c r="B123" s="215"/>
      <c r="C123" s="215"/>
      <c r="D123" s="215"/>
      <c r="E123" s="215"/>
      <c r="F123" s="215"/>
      <c r="G123" s="215"/>
      <c r="H123" s="215"/>
    </row>
    <row r="124" spans="1:8" x14ac:dyDescent="0.25">
      <c r="A124" s="212" t="s">
        <v>390</v>
      </c>
      <c r="B124" s="212"/>
      <c r="C124" s="212"/>
      <c r="D124" s="212"/>
      <c r="E124" s="212"/>
      <c r="F124" s="212"/>
      <c r="G124" s="212"/>
      <c r="H124" s="212"/>
    </row>
    <row r="125" spans="1:8" x14ac:dyDescent="0.25">
      <c r="A125" s="212" t="s">
        <v>388</v>
      </c>
      <c r="B125" s="212"/>
      <c r="C125" s="212"/>
      <c r="D125" s="212"/>
      <c r="E125" s="212"/>
      <c r="F125" s="212"/>
      <c r="G125" s="212"/>
      <c r="H125" s="212"/>
    </row>
    <row r="126" spans="1:8" x14ac:dyDescent="0.25">
      <c r="A126" s="212" t="s">
        <v>389</v>
      </c>
      <c r="B126" s="212"/>
      <c r="C126" s="212"/>
      <c r="D126" s="212"/>
      <c r="E126" s="212"/>
      <c r="F126" s="212"/>
      <c r="G126" s="212"/>
      <c r="H126" s="212"/>
    </row>
    <row r="127" spans="1:8" x14ac:dyDescent="0.25">
      <c r="A127" s="212" t="s">
        <v>175</v>
      </c>
      <c r="B127" s="212"/>
      <c r="C127" s="212"/>
      <c r="D127" s="212"/>
      <c r="E127" s="212"/>
      <c r="F127" s="212"/>
      <c r="G127" s="212"/>
      <c r="H127" s="212"/>
    </row>
  </sheetData>
  <sheetProtection algorithmName="SHA-512" hashValue="beo5AezQ2+FxtYa+sP5qrrAc2Fj9nowpXIX1wYOieSYHLoERfrxwlactm9YiOUBEYl1+UjMUVkymkUdJNEYSQQ==" saltValue="q2yHpx8iXhEhr6w/QumydA==" spinCount="100000" sheet="1" objects="1" scenarios="1"/>
  <mergeCells count="32">
    <mergeCell ref="A126:H126"/>
    <mergeCell ref="A127:H127"/>
    <mergeCell ref="A4:C4"/>
    <mergeCell ref="A15:B15"/>
    <mergeCell ref="A8:B8"/>
    <mergeCell ref="B115:E115"/>
    <mergeCell ref="A122:H122"/>
    <mergeCell ref="A123:H123"/>
    <mergeCell ref="A124:H124"/>
    <mergeCell ref="A125:H125"/>
    <mergeCell ref="A93:H93"/>
    <mergeCell ref="B94:E94"/>
    <mergeCell ref="B101:E101"/>
    <mergeCell ref="A107:H107"/>
    <mergeCell ref="B108:E108"/>
    <mergeCell ref="A91:H91"/>
    <mergeCell ref="B69:E69"/>
    <mergeCell ref="A75:H75"/>
    <mergeCell ref="B76:E76"/>
    <mergeCell ref="B83:E83"/>
    <mergeCell ref="A90:H90"/>
    <mergeCell ref="B51:E51"/>
    <mergeCell ref="A58:H58"/>
    <mergeCell ref="A59:H59"/>
    <mergeCell ref="A61:H61"/>
    <mergeCell ref="B62:E62"/>
    <mergeCell ref="A21:B21"/>
    <mergeCell ref="B37:E37"/>
    <mergeCell ref="A43:H43"/>
    <mergeCell ref="B44:E44"/>
    <mergeCell ref="A29:H29"/>
    <mergeCell ref="B30:E30"/>
  </mergeCells>
  <dataValidations count="3">
    <dataValidation type="list" allowBlank="1" showInputMessage="1" showErrorMessage="1" sqref="B10 B12 B16:B19 B23:B24 B26" xr:uid="{8BEC9E62-33F4-453D-9754-8973A8E710B1}">
      <formula1>$N$2:$N$13</formula1>
    </dataValidation>
    <dataValidation type="list" allowBlank="1" showInputMessage="1" showErrorMessage="1" sqref="B22" xr:uid="{892362DD-E6D9-4BE5-84F3-AB5849AD98EC}">
      <formula1>$O$2:$O$16</formula1>
    </dataValidation>
    <dataValidation type="list" allowBlank="1" showInputMessage="1" showErrorMessage="1" sqref="B25 B11 B9" xr:uid="{D5314CF7-9B05-4BBE-8203-6156E9F8F0E5}">
      <formula1>$M$2:$M$14</formula1>
    </dataValidation>
  </dataValidations>
  <hyperlinks>
    <hyperlink ref="A9" r:id="rId1" xr:uid="{38800A7D-C924-4BDD-ADD2-ABCC23D8D948}"/>
    <hyperlink ref="A10" r:id="rId2" xr:uid="{4F307086-3855-4B55-A28A-BE60D681F920}"/>
    <hyperlink ref="A11" r:id="rId3" display="Pompes déclinées" xr:uid="{94F07875-435C-40E4-B266-9E256A02332B}"/>
    <hyperlink ref="A12" r:id="rId4" xr:uid="{D1041F59-BB72-4C91-ADAF-E43371843B22}"/>
    <hyperlink ref="A16" r:id="rId5" xr:uid="{57BBA54B-45BB-4134-8A4C-9A0EE36B9569}"/>
    <hyperlink ref="A17" r:id="rId6" display="Tractions australienne" xr:uid="{F6C9F9CB-964D-403A-A0D7-82161249EE75}"/>
    <hyperlink ref="A18" r:id="rId7" xr:uid="{318345B6-D786-4915-A16D-A36E0273A675}"/>
    <hyperlink ref="A19" r:id="rId8" display="Relevé de jambes suspendu ou au sol" xr:uid="{A7C764F5-EA16-47D6-B93C-11BC1BFD13D3}"/>
    <hyperlink ref="A23" r:id="rId9" xr:uid="{5AC02EC8-1F63-43AB-9781-2B34C55118B3}"/>
    <hyperlink ref="A24" r:id="rId10" xr:uid="{223E0BC8-8E4A-4615-9575-967410D945E0}"/>
    <hyperlink ref="A25" r:id="rId11" xr:uid="{38DB15F2-7754-4008-9529-C13A3F4A114D}"/>
    <hyperlink ref="A22" r:id="rId12" xr:uid="{D13AFA85-8A53-43CE-A157-C935A30C5816}"/>
    <hyperlink ref="A26" r:id="rId13" xr:uid="{1527FC64-FE7F-42A8-AEDD-8190AA633B0B}"/>
    <hyperlink ref="B30" r:id="rId14" xr:uid="{C1CA7273-7E75-444E-967C-FE3D658F22F3}"/>
    <hyperlink ref="B37" r:id="rId15" xr:uid="{2DC0344D-410D-4DCD-83EA-3B6A75908E18}"/>
    <hyperlink ref="H30" r:id="rId16" xr:uid="{CDC8639D-267B-4FC1-B5DD-4F76C14F74DD}"/>
    <hyperlink ref="H37" r:id="rId17" xr:uid="{B5ACBAF5-7992-4AB6-8D7B-F8201ECAA9C4}"/>
    <hyperlink ref="A32" r:id="rId18" xr:uid="{6CE3CEC0-602E-4E94-B5D6-A69116D063B9}"/>
    <hyperlink ref="A33" r:id="rId19" xr:uid="{FC5AFD0E-2D0D-437F-843E-701B79C5D4D1}"/>
    <hyperlink ref="A34" r:id="rId20" display="Pompes déclinées" xr:uid="{F7A52B0E-BEB3-4089-A9F8-302071B679EF}"/>
    <hyperlink ref="A35" r:id="rId21" xr:uid="{0189BB78-D47F-471B-B7FF-939823CB5FF4}"/>
    <hyperlink ref="H33" r:id="rId22" display="https://youtu.be/Ocg8wyTciVc?si=LWyXVbYtDjva6wt2" xr:uid="{DB245DE4-5F94-43F7-937D-11D80818C02B}"/>
    <hyperlink ref="A39" r:id="rId23" xr:uid="{5309BD4D-7627-4861-AA5C-542FD1C88AB7}"/>
    <hyperlink ref="A40" r:id="rId24" display="Tractions australienne" xr:uid="{3B8F69A0-0F58-4DAC-99D8-102079CABC4A}"/>
    <hyperlink ref="A41" r:id="rId25" xr:uid="{33766273-D307-4501-B878-2E1AFB2FBCEA}"/>
    <hyperlink ref="A42" r:id="rId26" display="Relevé de jambes suspendu ou au sol" xr:uid="{ABC17384-7460-4E20-B41A-CDFD1B12DC83}"/>
    <hyperlink ref="B44" r:id="rId27" xr:uid="{9BC412FB-7D9C-4F76-9C0D-719D5AC71D06}"/>
    <hyperlink ref="H44" r:id="rId28" xr:uid="{92DF07A5-4335-4200-B005-73E40581EEA0}"/>
    <hyperlink ref="A47" r:id="rId29" xr:uid="{7EA91666-0E9A-4E8D-9110-A4FBE4D665B9}"/>
    <hyperlink ref="A48" r:id="rId30" xr:uid="{EACAA4B5-F639-45AB-96C8-F0C623211816}"/>
    <hyperlink ref="A49" r:id="rId31" xr:uid="{F3EB6D4F-0AF9-4741-8AFC-A9A149253F96}"/>
    <hyperlink ref="A46" r:id="rId32" xr:uid="{99856A1C-BA06-4DBA-9E07-BB21EBEBC209}"/>
    <hyperlink ref="A50" r:id="rId33" xr:uid="{79251C62-0154-439D-97DC-3361C9CD4339}"/>
    <hyperlink ref="B51" r:id="rId34" xr:uid="{6F03D8AE-2B3E-4415-86F2-918E5038D344}"/>
    <hyperlink ref="H51" r:id="rId35" xr:uid="{8814FE71-8FF3-449A-BECA-6B206B5FFC72}"/>
    <hyperlink ref="A53" r:id="rId36" xr:uid="{736E9549-3151-4B20-B4F5-C8F51F16C922}"/>
    <hyperlink ref="A54" r:id="rId37" xr:uid="{579F64F3-837B-485E-9219-FEBE25247934}"/>
    <hyperlink ref="A55" r:id="rId38" display="Pompes déclinées" xr:uid="{8DE71E28-41D0-4459-94ED-08468E26060A}"/>
    <hyperlink ref="A56" r:id="rId39" xr:uid="{7725808D-F996-4427-9AC4-5B02EFA89944}"/>
    <hyperlink ref="B62" r:id="rId40" xr:uid="{A1F98FEF-26B3-493D-BF1A-2D12710D83E3}"/>
    <hyperlink ref="B69" r:id="rId41" xr:uid="{709E339D-C02A-4E14-BFA1-EAFF31B3147F}"/>
    <hyperlink ref="H62" r:id="rId42" xr:uid="{284E87C1-4838-45D2-BB91-F7A5F15B1ACD}"/>
    <hyperlink ref="H69" r:id="rId43" xr:uid="{1387F1B1-328D-443B-AD4D-7D882D62A407}"/>
    <hyperlink ref="A64" r:id="rId44" xr:uid="{D667D2C9-26A1-4069-8472-58B3852D5B1E}"/>
    <hyperlink ref="A65" r:id="rId45" xr:uid="{D17EC088-71E4-4236-8AAA-B56E005CEA26}"/>
    <hyperlink ref="A66" r:id="rId46" display="Pompes déclinées" xr:uid="{40E0B20A-34ED-46D5-A7F8-A3C52FAC0DA8}"/>
    <hyperlink ref="A67" r:id="rId47" xr:uid="{53C20F20-71E3-40B0-8808-327CE1296A5B}"/>
    <hyperlink ref="H65" r:id="rId48" display="https://youtu.be/Ocg8wyTciVc?si=LWyXVbYtDjva6wt2" xr:uid="{50B1D737-1178-4D48-9677-84D994695E30}"/>
    <hyperlink ref="A71" r:id="rId49" xr:uid="{034F09CB-03AF-4AAB-8BFC-5FFE949E3C84}"/>
    <hyperlink ref="A72" r:id="rId50" display="Tractions australienne" xr:uid="{463C81C2-43A1-4CDF-896A-EAD5AFB6ED94}"/>
    <hyperlink ref="A73" r:id="rId51" xr:uid="{56E04EBC-4D9E-464A-ABBD-5951463B27E2}"/>
    <hyperlink ref="A74" r:id="rId52" display="Relevé de jambes suspendu ou au sol" xr:uid="{FDF6C823-E8E5-49B1-B80E-FD6BAA4073F6}"/>
    <hyperlink ref="B76" r:id="rId53" xr:uid="{84FD7077-D204-428A-9801-48671FD1A935}"/>
    <hyperlink ref="H76" r:id="rId54" xr:uid="{60525C39-2619-4D76-8C30-659F5DC8AD45}"/>
    <hyperlink ref="A79" r:id="rId55" xr:uid="{0795CE56-F45F-4832-987A-FFBC96CA5722}"/>
    <hyperlink ref="A80" r:id="rId56" xr:uid="{900ED94C-8E56-4DF8-92C1-9617B6B972A9}"/>
    <hyperlink ref="A81" r:id="rId57" xr:uid="{F03216B8-6772-4FB4-A0A7-B9B7BE2514AF}"/>
    <hyperlink ref="A78" r:id="rId58" xr:uid="{C19B1856-41C8-4932-A72C-F3E08B3013E5}"/>
    <hyperlink ref="A82" r:id="rId59" xr:uid="{45F6FA8D-8921-4AD1-801F-22718243E2EB}"/>
    <hyperlink ref="B83" r:id="rId60" xr:uid="{0B8FA6C4-90B9-4FEF-BAC7-B423BAAC1165}"/>
    <hyperlink ref="H83" r:id="rId61" xr:uid="{F8E8AE1B-E7E0-4693-AF3D-03919D2EA45A}"/>
    <hyperlink ref="A85" r:id="rId62" xr:uid="{6071EB3A-4CEC-4A2A-8908-7DD8FB25A42C}"/>
    <hyperlink ref="A86" r:id="rId63" xr:uid="{682FEB2F-F105-446C-9DD7-7D6C70F90D4E}"/>
    <hyperlink ref="A87" r:id="rId64" display="Pompes déclinées" xr:uid="{48796815-0768-4043-B9F5-539E33DE16C8}"/>
    <hyperlink ref="A88" r:id="rId65" xr:uid="{F9F4AB29-9C47-4CE2-ADC3-230C0525E9E4}"/>
    <hyperlink ref="B94" r:id="rId66" xr:uid="{6E09F64A-360A-45A4-9F1E-A75D7CFEDB13}"/>
    <hyperlink ref="B101" r:id="rId67" xr:uid="{03C230F5-5F5A-455C-8FA0-482E3FBC7E95}"/>
    <hyperlink ref="H94" r:id="rId68" xr:uid="{4E2E51CE-5C07-4479-BCC6-F2C4A211C204}"/>
    <hyperlink ref="H101" r:id="rId69" xr:uid="{AA7FE2A2-5670-4B5B-AEFC-9AF32AE7145D}"/>
    <hyperlink ref="A96" r:id="rId70" xr:uid="{1F489D13-73B2-4514-A7F0-B09353C0146B}"/>
    <hyperlink ref="A97" r:id="rId71" xr:uid="{85518CC1-5F75-46CA-A63E-F5380DE5FD94}"/>
    <hyperlink ref="A98" r:id="rId72" display="Pompes déclinées" xr:uid="{145B269A-F8D7-45F9-BC7C-50EA4D489847}"/>
    <hyperlink ref="A99" r:id="rId73" xr:uid="{B5B5F6EF-7140-4A1C-B465-8361C07CEB71}"/>
    <hyperlink ref="A103" r:id="rId74" xr:uid="{2EB9B268-7B81-4A68-A0A2-24BF25824D40}"/>
    <hyperlink ref="A104" r:id="rId75" display="Tractions australienne" xr:uid="{832AFE5F-035B-4DE4-9A8C-6908EB88CB6F}"/>
    <hyperlink ref="A105" r:id="rId76" xr:uid="{8B4D8D87-01BA-4A74-A3AE-74828FD85A91}"/>
    <hyperlink ref="A106" r:id="rId77" display="Relevé de jambes suspendu ou au sol" xr:uid="{8DA370EC-08CD-4D97-98EA-2D7600E1B941}"/>
    <hyperlink ref="B108" r:id="rId78" xr:uid="{4426EFE7-2915-43AF-9DE4-A3A68AC8D785}"/>
    <hyperlink ref="H108" r:id="rId79" xr:uid="{3D767F89-9E39-45BA-A787-98EE19E865EE}"/>
    <hyperlink ref="A111" r:id="rId80" xr:uid="{BBB74872-3119-4068-880A-DA6F83810D5B}"/>
    <hyperlink ref="A112" r:id="rId81" xr:uid="{B5BAA00C-78D8-4FA7-ADCE-975EF62065A8}"/>
    <hyperlink ref="A113" r:id="rId82" xr:uid="{05E5F328-257B-4587-835E-388F1B688D09}"/>
    <hyperlink ref="A110" r:id="rId83" xr:uid="{3DD866B4-FE5B-4D56-B0D5-196A0FF09A13}"/>
    <hyperlink ref="A114" r:id="rId84" xr:uid="{99CDCAE0-2BAE-4FDC-9F0A-F1C766079D2E}"/>
    <hyperlink ref="B115" r:id="rId85" xr:uid="{E0758FEA-9420-44A1-94C8-16E674049CBF}"/>
    <hyperlink ref="H115" r:id="rId86" xr:uid="{AEFB3B15-DCD1-4EAC-8B50-A6859A50EF2F}"/>
    <hyperlink ref="A117" r:id="rId87" xr:uid="{CF8BE2B2-FEEE-4DB2-9E7B-C91DFECF7905}"/>
    <hyperlink ref="A118" r:id="rId88" xr:uid="{AC751DFB-6682-4BC2-98FB-9630FE9DEEFF}"/>
    <hyperlink ref="A119" r:id="rId89" display="Pompes déclinées" xr:uid="{15E01637-A575-4332-B9DD-548A9DC6AAB5}"/>
    <hyperlink ref="A120" r:id="rId90" xr:uid="{A6087DC4-625E-4710-94AF-E74DDFD22F0A}"/>
    <hyperlink ref="A13" r:id="rId91" xr:uid="{BEAEDBA8-8CFA-4A18-A891-9A5F63FD19AF}"/>
  </hyperlinks>
  <pageMargins left="0.7" right="0.7" top="0.75" bottom="0.75" header="0.3" footer="0.3"/>
  <drawing r:id="rId9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Avertissement</vt:lpstr>
      <vt:lpstr>Fiche personnelle</vt:lpstr>
      <vt:lpstr>IMC</vt:lpstr>
      <vt:lpstr>Résultat du test</vt:lpstr>
      <vt:lpstr>Niveau 1</vt:lpstr>
      <vt:lpstr>Niveau 2</vt:lpstr>
      <vt:lpstr>Niveau 3</vt:lpstr>
      <vt:lpstr>Niveau 4</vt:lpstr>
      <vt:lpstr>Focus pectoraux</vt:lpstr>
      <vt:lpstr>Focus dos</vt:lpstr>
      <vt:lpstr>Focus bras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wyst</dc:creator>
  <cp:lastModifiedBy>Jim wyst</cp:lastModifiedBy>
  <dcterms:created xsi:type="dcterms:W3CDTF">2024-05-18T12:15:15Z</dcterms:created>
  <dcterms:modified xsi:type="dcterms:W3CDTF">2024-06-02T15:55:46Z</dcterms:modified>
</cp:coreProperties>
</file>